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autoCompressPictures="1"/>
  <bookViews>
    <workbookView tabRatio="600"/>
  </bookViews>
  <sheets>
    <sheet name="Rating" sheetId="1" r:id="rId3"/>
  </sheets>
</workbook>
</file>

<file path=xl/sharedStrings.xml><?xml version="1.0" encoding="utf-8"?>
<sst xmlns="http://schemas.openxmlformats.org/spreadsheetml/2006/main" count="8530" uniqueCount="6550">
  <si>
    <t xml:space="preserve">S. No.</t>
  </si>
  <si>
    <t xml:space="preserve">Name of Non-cooperative issuer</t>
  </si>
  <si>
    <t xml:space="preserve">Date of categorization of issuer as non-cooperative</t>
  </si>
  <si>
    <t xml:space="preserve">Link to the webpage hosting the issuer’s press releases</t>
  </si>
  <si>
    <t xml:space="preserve">1</t>
  </si>
  <si>
    <t xml:space="preserve">4 Genius Minds</t>
  </si>
  <si>
    <t xml:space="preserve">16 Mar 2018</t>
  </si>
  <si>
    <t xml:space="preserve">2</t>
  </si>
  <si>
    <t xml:space="preserve">A N Associates</t>
  </si>
  <si>
    <t xml:space="preserve">28 Jun 2019</t>
  </si>
  <si>
    <t xml:space="preserve">3</t>
  </si>
  <si>
    <t xml:space="preserve">A Shama Rao Foundation</t>
  </si>
  <si>
    <t xml:space="preserve">31 Jan 2018</t>
  </si>
  <si>
    <t xml:space="preserve">4</t>
  </si>
  <si>
    <t xml:space="preserve">A. K. Das Associates Limited</t>
  </si>
  <si>
    <t xml:space="preserve">28 Jan 2021</t>
  </si>
  <si>
    <t xml:space="preserve">5</t>
  </si>
  <si>
    <t xml:space="preserve">A. K. L. Infracon Pvt Ltd</t>
  </si>
  <si>
    <t xml:space="preserve">19 Nov 2018</t>
  </si>
  <si>
    <t xml:space="preserve">6</t>
  </si>
  <si>
    <t xml:space="preserve">A. S. Export</t>
  </si>
  <si>
    <t xml:space="preserve">30 Jun 2022</t>
  </si>
  <si>
    <t xml:space="preserve">7</t>
  </si>
  <si>
    <t xml:space="preserve">A.P.R. Ginn And Pressing Mills</t>
  </si>
  <si>
    <t xml:space="preserve">14 Jul 2017</t>
  </si>
  <si>
    <t xml:space="preserve">8</t>
  </si>
  <si>
    <t xml:space="preserve">A.S. Moloobhoy Private Limited</t>
  </si>
  <si>
    <t xml:space="preserve">14 Nov 2019</t>
  </si>
  <si>
    <t xml:space="preserve">9</t>
  </si>
  <si>
    <t xml:space="preserve">Aadhi Cars Private Limited</t>
  </si>
  <si>
    <t xml:space="preserve">27 May 2022</t>
  </si>
  <si>
    <t xml:space="preserve">10</t>
  </si>
  <si>
    <t xml:space="preserve">Aadi Polymers Private Limited</t>
  </si>
  <si>
    <t xml:space="preserve">30 Sep 2020</t>
  </si>
  <si>
    <t xml:space="preserve">11</t>
  </si>
  <si>
    <t xml:space="preserve">Aai Krupa Cotton Industries</t>
  </si>
  <si>
    <t xml:space="preserve">19 Jun 2017</t>
  </si>
  <si>
    <t xml:space="preserve">12</t>
  </si>
  <si>
    <t xml:space="preserve">Aaiswarya Dyeing Mills Pvt. Ltd.</t>
  </si>
  <si>
    <t xml:space="preserve">09 Nov 2017</t>
  </si>
  <si>
    <t xml:space="preserve">13</t>
  </si>
  <si>
    <t xml:space="preserve">Aarcot Ceramic Pvt. Ltd.</t>
  </si>
  <si>
    <t xml:space="preserve">14 Jun 2018</t>
  </si>
  <si>
    <t xml:space="preserve">14</t>
  </si>
  <si>
    <t xml:space="preserve">Aarey Drugs &amp; Pharmaceuticals Limited</t>
  </si>
  <si>
    <t xml:space="preserve">15</t>
  </si>
  <si>
    <t xml:space="preserve">Aarneel Technocrafts Private Limited</t>
  </si>
  <si>
    <t xml:space="preserve">29 May 2019</t>
  </si>
  <si>
    <t xml:space="preserve">16</t>
  </si>
  <si>
    <t xml:space="preserve">Aasra Foundations (Regd.)</t>
  </si>
  <si>
    <t xml:space="preserve">17 Jun 2019</t>
  </si>
  <si>
    <t xml:space="preserve">17</t>
  </si>
  <si>
    <t xml:space="preserve">Aastha Fashions Pvt. Ltd.</t>
  </si>
  <si>
    <t xml:space="preserve">31 May 2017</t>
  </si>
  <si>
    <t xml:space="preserve">18</t>
  </si>
  <si>
    <t xml:space="preserve">Aastha Infracity Limited</t>
  </si>
  <si>
    <t xml:space="preserve">18 May 2022</t>
  </si>
  <si>
    <t xml:space="preserve">19</t>
  </si>
  <si>
    <t xml:space="preserve">Aasu Exim Private Limited</t>
  </si>
  <si>
    <t xml:space="preserve">11 Oct 2017</t>
  </si>
  <si>
    <t xml:space="preserve">20</t>
  </si>
  <si>
    <t xml:space="preserve">AB Sugars Limited</t>
  </si>
  <si>
    <t xml:space="preserve">24 Apr 2018</t>
  </si>
  <si>
    <t xml:space="preserve">21</t>
  </si>
  <si>
    <t xml:space="preserve">AB&amp;Co Global Private Limited</t>
  </si>
  <si>
    <t xml:space="preserve">28 May 2018</t>
  </si>
  <si>
    <t xml:space="preserve">22</t>
  </si>
  <si>
    <t xml:space="preserve">ABC Transformers Private Limited</t>
  </si>
  <si>
    <t xml:space="preserve">21 Jun 2018</t>
  </si>
  <si>
    <t xml:space="preserve">23</t>
  </si>
  <si>
    <t xml:space="preserve">Abhinav Industries</t>
  </si>
  <si>
    <t xml:space="preserve">15 Nov 2017</t>
  </si>
  <si>
    <t xml:space="preserve">24</t>
  </si>
  <si>
    <t xml:space="preserve">Abhishek Automotives Private Limited</t>
  </si>
  <si>
    <t xml:space="preserve">05 Oct 2017</t>
  </si>
  <si>
    <t xml:space="preserve">25</t>
  </si>
  <si>
    <t xml:space="preserve">Abhishek Steel Industries Limited</t>
  </si>
  <si>
    <t xml:space="preserve">26</t>
  </si>
  <si>
    <t xml:space="preserve">Abhyudaya Green Economic Zones Private Limited</t>
  </si>
  <si>
    <t xml:space="preserve">27</t>
  </si>
  <si>
    <t xml:space="preserve">Abir Infrastructure Private Limited</t>
  </si>
  <si>
    <t xml:space="preserve">15 Feb 2019</t>
  </si>
  <si>
    <t xml:space="preserve">28</t>
  </si>
  <si>
    <t xml:space="preserve">Abis Sampoorna LLP</t>
  </si>
  <si>
    <t xml:space="preserve">29 Oct 2024</t>
  </si>
  <si>
    <t xml:space="preserve">29</t>
  </si>
  <si>
    <t xml:space="preserve">Abroad Vitrified Private Limited</t>
  </si>
  <si>
    <t xml:space="preserve">28 Feb 2022</t>
  </si>
  <si>
    <t xml:space="preserve">30</t>
  </si>
  <si>
    <t xml:space="preserve">Accord Motors</t>
  </si>
  <si>
    <t xml:space="preserve">31</t>
  </si>
  <si>
    <t xml:space="preserve">Accura Organic Foods</t>
  </si>
  <si>
    <t xml:space="preserve">15 Dec 2017</t>
  </si>
  <si>
    <t xml:space="preserve">32</t>
  </si>
  <si>
    <t xml:space="preserve">Acme Formulation Private Limited</t>
  </si>
  <si>
    <t xml:space="preserve">20 Nov 2020</t>
  </si>
  <si>
    <t xml:space="preserve">33</t>
  </si>
  <si>
    <t xml:space="preserve">Acme Generics LLP</t>
  </si>
  <si>
    <t xml:space="preserve">34</t>
  </si>
  <si>
    <t xml:space="preserve">ACR Machining Pvt. Ltd.</t>
  </si>
  <si>
    <t xml:space="preserve">15 Sep 2020</t>
  </si>
  <si>
    <t xml:space="preserve">35</t>
  </si>
  <si>
    <t xml:space="preserve">Action Industrial Corporation</t>
  </si>
  <si>
    <t xml:space="preserve">16 Aug 2018</t>
  </si>
  <si>
    <t xml:space="preserve">36</t>
  </si>
  <si>
    <t xml:space="preserve">Active Char Products Private Limited</t>
  </si>
  <si>
    <t xml:space="preserve">29 Nov 2019</t>
  </si>
  <si>
    <t xml:space="preserve">37</t>
  </si>
  <si>
    <t xml:space="preserve">Adams Marketing Pvt. Ltd.</t>
  </si>
  <si>
    <t xml:space="preserve">14 Sep 2017</t>
  </si>
  <si>
    <t xml:space="preserve">38</t>
  </si>
  <si>
    <t xml:space="preserve">Adarsh Rice Mill</t>
  </si>
  <si>
    <t xml:space="preserve">39</t>
  </si>
  <si>
    <t xml:space="preserve">Adarsha Auto World Private Limited</t>
  </si>
  <si>
    <t xml:space="preserve">28 Nov 2022</t>
  </si>
  <si>
    <t xml:space="preserve">40</t>
  </si>
  <si>
    <t xml:space="preserve">Adarsha Automotives Private Limited</t>
  </si>
  <si>
    <t xml:space="preserve">41</t>
  </si>
  <si>
    <t xml:space="preserve">Adarsha Motor Sales Private Limited</t>
  </si>
  <si>
    <t xml:space="preserve">42</t>
  </si>
  <si>
    <t xml:space="preserve">Addi Alloys Private Limited</t>
  </si>
  <si>
    <t xml:space="preserve">28 Oct 2022</t>
  </si>
  <si>
    <t xml:space="preserve">43</t>
  </si>
  <si>
    <t xml:space="preserve">Addica Industries Llp</t>
  </si>
  <si>
    <t xml:space="preserve">24 Dec 2019</t>
  </si>
  <si>
    <t xml:space="preserve">44</t>
  </si>
  <si>
    <t xml:space="preserve">ADG Agrotech Pvt Ltd</t>
  </si>
  <si>
    <t xml:space="preserve">45</t>
  </si>
  <si>
    <t xml:space="preserve">ADH Chemicals Private Limited</t>
  </si>
  <si>
    <t xml:space="preserve">26 Dec 2022</t>
  </si>
  <si>
    <t xml:space="preserve">46</t>
  </si>
  <si>
    <t xml:space="preserve">Adie Broswon Breweries Private Limited</t>
  </si>
  <si>
    <t xml:space="preserve">11 May 2017</t>
  </si>
  <si>
    <t xml:space="preserve">47</t>
  </si>
  <si>
    <t xml:space="preserve">Adilabad Expressway Private Limited</t>
  </si>
  <si>
    <t xml:space="preserve">25 Oct 2019</t>
  </si>
  <si>
    <t xml:space="preserve">48</t>
  </si>
  <si>
    <t xml:space="preserve">Adilabad Municipality</t>
  </si>
  <si>
    <t xml:space="preserve">15 Jun 2021</t>
  </si>
  <si>
    <t xml:space="preserve">49</t>
  </si>
  <si>
    <t xml:space="preserve">Adinath Silks Private Limited (Erst Adinath Silks Limited)</t>
  </si>
  <si>
    <t xml:space="preserve">29 Sep 2020</t>
  </si>
  <si>
    <t xml:space="preserve">50</t>
  </si>
  <si>
    <t xml:space="preserve">Adino Telecom Limited</t>
  </si>
  <si>
    <t xml:space="preserve">51</t>
  </si>
  <si>
    <t xml:space="preserve">Adishakti Alloys Pvt Ltd</t>
  </si>
  <si>
    <t xml:space="preserve">18 Oct 2017</t>
  </si>
  <si>
    <t xml:space="preserve">52</t>
  </si>
  <si>
    <t xml:space="preserve">Aditya Agro Foods</t>
  </si>
  <si>
    <t xml:space="preserve">13 Apr 2018</t>
  </si>
  <si>
    <t xml:space="preserve">53</t>
  </si>
  <si>
    <t xml:space="preserve">Aditya Automobile Spares Private Limited</t>
  </si>
  <si>
    <t xml:space="preserve">54</t>
  </si>
  <si>
    <t xml:space="preserve">Aditya Constructions</t>
  </si>
  <si>
    <t xml:space="preserve">55</t>
  </si>
  <si>
    <t xml:space="preserve">Aditya Hi-Tech Cold Storage</t>
  </si>
  <si>
    <t xml:space="preserve">56</t>
  </si>
  <si>
    <t xml:space="preserve">Aditya Vidyut Appliances Limited</t>
  </si>
  <si>
    <t xml:space="preserve">57</t>
  </si>
  <si>
    <t xml:space="preserve">Advaith Bio Remedies</t>
  </si>
  <si>
    <t xml:space="preserve">26 Sep 2017</t>
  </si>
  <si>
    <t xml:space="preserve">58</t>
  </si>
  <si>
    <t xml:space="preserve">Advantage Computers India Private Limited</t>
  </si>
  <si>
    <t xml:space="preserve">59</t>
  </si>
  <si>
    <t xml:space="preserve">Advent Enterprises Private Limited</t>
  </si>
  <si>
    <t xml:space="preserve">16 Jul 2018</t>
  </si>
  <si>
    <t xml:space="preserve">60</t>
  </si>
  <si>
    <t xml:space="preserve">Adya Dairy Products Private Limited</t>
  </si>
  <si>
    <t xml:space="preserve">06 Sep 2024</t>
  </si>
  <si>
    <t xml:space="preserve">61</t>
  </si>
  <si>
    <t xml:space="preserve">Adyar Gate Hotels Limited</t>
  </si>
  <si>
    <t xml:space="preserve">28 Feb 2023</t>
  </si>
  <si>
    <t xml:space="preserve">62</t>
  </si>
  <si>
    <t xml:space="preserve">Aeroc Space Technologies Pvt. Ltd.</t>
  </si>
  <si>
    <t xml:space="preserve">25 Sep 2019</t>
  </si>
  <si>
    <t xml:space="preserve">63</t>
  </si>
  <si>
    <t xml:space="preserve">Affil Vitrified Private Limited</t>
  </si>
  <si>
    <t xml:space="preserve">13 Oct 2023</t>
  </si>
  <si>
    <t xml:space="preserve">64</t>
  </si>
  <si>
    <t xml:space="preserve">Agarwal Chem Products (India) Pvt. Ltd.</t>
  </si>
  <si>
    <t xml:space="preserve">17 Oct 2019</t>
  </si>
  <si>
    <t xml:space="preserve">65</t>
  </si>
  <si>
    <t xml:space="preserve">Agarwal Fasteners Private Limited</t>
  </si>
  <si>
    <t xml:space="preserve">27 Sep 2017</t>
  </si>
  <si>
    <t xml:space="preserve">66</t>
  </si>
  <si>
    <t xml:space="preserve">Agarwal Motors (Prop. of Concord Tie-up Private Limited)</t>
  </si>
  <si>
    <t xml:space="preserve">19 May 2020</t>
  </si>
  <si>
    <t xml:space="preserve">67</t>
  </si>
  <si>
    <t xml:space="preserve">Aggarwal Foods</t>
  </si>
  <si>
    <t xml:space="preserve">20 Oct 2020</t>
  </si>
  <si>
    <t xml:space="preserve">68</t>
  </si>
  <si>
    <t xml:space="preserve">Agra Oil &amp; General Industries Limited</t>
  </si>
  <si>
    <t xml:space="preserve">18 May 2020</t>
  </si>
  <si>
    <t xml:space="preserve">69</t>
  </si>
  <si>
    <t xml:space="preserve">Agrasia Impex</t>
  </si>
  <si>
    <t xml:space="preserve">70</t>
  </si>
  <si>
    <t xml:space="preserve">Agron Logistics India Private Limited</t>
  </si>
  <si>
    <t xml:space="preserve">13 Nov 2017</t>
  </si>
  <si>
    <t xml:space="preserve">71</t>
  </si>
  <si>
    <t xml:space="preserve">Ahitri Spinning Mills Pvt. Ltd.</t>
  </si>
  <si>
    <t xml:space="preserve">14 Feb 2020</t>
  </si>
  <si>
    <t xml:space="preserve">72</t>
  </si>
  <si>
    <t xml:space="preserve">Airan Steel &amp; Power Private Limited</t>
  </si>
  <si>
    <t xml:space="preserve">73</t>
  </si>
  <si>
    <t xml:space="preserve">Aircel Cellular Limited</t>
  </si>
  <si>
    <t xml:space="preserve">74</t>
  </si>
  <si>
    <t xml:space="preserve">Aircel Limited</t>
  </si>
  <si>
    <t xml:space="preserve">75</t>
  </si>
  <si>
    <t xml:space="preserve">Aircel Smart Money Limited</t>
  </si>
  <si>
    <t xml:space="preserve">76</t>
  </si>
  <si>
    <t xml:space="preserve">Aircon Engineers Private Limited</t>
  </si>
  <si>
    <t xml:space="preserve">15 May 2019</t>
  </si>
  <si>
    <t xml:space="preserve">77</t>
  </si>
  <si>
    <t xml:space="preserve">Airvision India Private Limited</t>
  </si>
  <si>
    <t xml:space="preserve">15 Jun 2022</t>
  </si>
  <si>
    <t xml:space="preserve">78</t>
  </si>
  <si>
    <t xml:space="preserve">Aithanoli Cibus Products Private Limited</t>
  </si>
  <si>
    <t xml:space="preserve">21 Jan 2025</t>
  </si>
  <si>
    <t xml:space="preserve">79</t>
  </si>
  <si>
    <t xml:space="preserve">Ajay Engicone Pvt. Ltd.</t>
  </si>
  <si>
    <t xml:space="preserve">19 Dec 2017</t>
  </si>
  <si>
    <t xml:space="preserve">80</t>
  </si>
  <si>
    <t xml:space="preserve">Ajay Modern Rice Mill</t>
  </si>
  <si>
    <t xml:space="preserve">15 Mar 2019</t>
  </si>
  <si>
    <t xml:space="preserve">81</t>
  </si>
  <si>
    <t xml:space="preserve">Ajit Kumar Swain</t>
  </si>
  <si>
    <t xml:space="preserve">82</t>
  </si>
  <si>
    <t xml:space="preserve">Ajnara India Limited</t>
  </si>
  <si>
    <t xml:space="preserve">07 Sep 2020</t>
  </si>
  <si>
    <t xml:space="preserve">83</t>
  </si>
  <si>
    <t xml:space="preserve">Ajnara Infrastructure Private Limited</t>
  </si>
  <si>
    <t xml:space="preserve">27 Sep 2019</t>
  </si>
  <si>
    <t xml:space="preserve">84</t>
  </si>
  <si>
    <t xml:space="preserve">Akal Information Systems Ltd</t>
  </si>
  <si>
    <t xml:space="preserve">85</t>
  </si>
  <si>
    <t xml:space="preserve">Akal Pipe Industries</t>
  </si>
  <si>
    <t xml:space="preserve">06 Jul 2017</t>
  </si>
  <si>
    <t xml:space="preserve">86</t>
  </si>
  <si>
    <t xml:space="preserve">Akanksha Automobiles (P) Ltd</t>
  </si>
  <si>
    <t xml:space="preserve">19 Jun 2018</t>
  </si>
  <si>
    <t xml:space="preserve">87</t>
  </si>
  <si>
    <t xml:space="preserve">Akash Enterprises</t>
  </si>
  <si>
    <t xml:space="preserve">31 Aug 2020</t>
  </si>
  <si>
    <t xml:space="preserve">88</t>
  </si>
  <si>
    <t xml:space="preserve">Akasva Infrastructure Pvt Ltd</t>
  </si>
  <si>
    <t xml:space="preserve">89</t>
  </si>
  <si>
    <t xml:space="preserve">Aklavya Industries Pvt. Ltd.</t>
  </si>
  <si>
    <t xml:space="preserve">28 Jun 2017</t>
  </si>
  <si>
    <t xml:space="preserve">90</t>
  </si>
  <si>
    <t xml:space="preserve">AKR Impex Private Limited</t>
  </si>
  <si>
    <t xml:space="preserve">09 Oct 2019</t>
  </si>
  <si>
    <t xml:space="preserve">91</t>
  </si>
  <si>
    <t xml:space="preserve">AKS Alloys Private Limited</t>
  </si>
  <si>
    <t xml:space="preserve">22 Feb 2017</t>
  </si>
  <si>
    <t xml:space="preserve">92</t>
  </si>
  <si>
    <t xml:space="preserve">Akshar Cotton Industries</t>
  </si>
  <si>
    <t xml:space="preserve">15 Feb 2018</t>
  </si>
  <si>
    <t xml:space="preserve">93</t>
  </si>
  <si>
    <t xml:space="preserve">Akshar Ginning And Pressing Industries</t>
  </si>
  <si>
    <t xml:space="preserve">20 Feb 2020</t>
  </si>
  <si>
    <t xml:space="preserve">94</t>
  </si>
  <si>
    <t xml:space="preserve">Akshara Motors Private Limited</t>
  </si>
  <si>
    <t xml:space="preserve">29 Mar 2018</t>
  </si>
  <si>
    <t xml:space="preserve">95</t>
  </si>
  <si>
    <t xml:space="preserve">Akshat Roller Flour Mills Private Limited</t>
  </si>
  <si>
    <t xml:space="preserve">27 Sep 2018</t>
  </si>
  <si>
    <t xml:space="preserve">96</t>
  </si>
  <si>
    <t xml:space="preserve">Al - Ayaan Foods Private Limited</t>
  </si>
  <si>
    <t xml:space="preserve">99</t>
  </si>
  <si>
    <t xml:space="preserve">Alapatt Jewellery (House of Alapatt)</t>
  </si>
  <si>
    <t xml:space="preserve">100</t>
  </si>
  <si>
    <t xml:space="preserve">Alapatt Jewels</t>
  </si>
  <si>
    <t xml:space="preserve">101</t>
  </si>
  <si>
    <t xml:space="preserve">Alivelu Rice Products</t>
  </si>
  <si>
    <t xml:space="preserve">102</t>
  </si>
  <si>
    <t xml:space="preserve">Allied Energy Systems Private Limited</t>
  </si>
  <si>
    <t xml:space="preserve">103</t>
  </si>
  <si>
    <t xml:space="preserve">Allix Ceramic Private Limited</t>
  </si>
  <si>
    <t xml:space="preserve">16 Jan 2018</t>
  </si>
  <si>
    <t xml:space="preserve">104</t>
  </si>
  <si>
    <t xml:space="preserve">Alluri Usha Gandhi</t>
  </si>
  <si>
    <t xml:space="preserve">08 Aug 2017</t>
  </si>
  <si>
    <t xml:space="preserve">105</t>
  </si>
  <si>
    <t xml:space="preserve">ALM Industries Limited</t>
  </si>
  <si>
    <t xml:space="preserve">24 Feb 2021</t>
  </si>
  <si>
    <t xml:space="preserve">97</t>
  </si>
  <si>
    <t xml:space="preserve">Al-Nasir Exports Private Limited</t>
  </si>
  <si>
    <t xml:space="preserve">14 Apr 2022</t>
  </si>
  <si>
    <t xml:space="preserve">106</t>
  </si>
  <si>
    <t xml:space="preserve">Alok Glass Works</t>
  </si>
  <si>
    <t xml:space="preserve">19 Sep 2017</t>
  </si>
  <si>
    <t xml:space="preserve">107</t>
  </si>
  <si>
    <t xml:space="preserve">Alpha Milk Foods Pvt. Ltd.</t>
  </si>
  <si>
    <t xml:space="preserve">27 Oct 2017</t>
  </si>
  <si>
    <t xml:space="preserve">108</t>
  </si>
  <si>
    <t xml:space="preserve">Alpine Panels Pvt. Ltd</t>
  </si>
  <si>
    <t xml:space="preserve">109</t>
  </si>
  <si>
    <t xml:space="preserve">Alpine Poly Rub Private Limited</t>
  </si>
  <si>
    <t xml:space="preserve">26 Oct 2017</t>
  </si>
  <si>
    <t xml:space="preserve">98</t>
  </si>
  <si>
    <t xml:space="preserve">Al-Rkayan Apparels &amp; Exports Private Limited</t>
  </si>
  <si>
    <t xml:space="preserve">24 Aug 2017</t>
  </si>
  <si>
    <t xml:space="preserve">110</t>
  </si>
  <si>
    <t xml:space="preserve">Altech Infrastructure Pvt. Ltd.</t>
  </si>
  <si>
    <t xml:space="preserve">111</t>
  </si>
  <si>
    <t xml:space="preserve">Aluminium India</t>
  </si>
  <si>
    <t xml:space="preserve">20 Sep 2017</t>
  </si>
  <si>
    <t xml:space="preserve">112</t>
  </si>
  <si>
    <t xml:space="preserve">Amarnath Aggarwal Constructions</t>
  </si>
  <si>
    <t xml:space="preserve">113</t>
  </si>
  <si>
    <t xml:space="preserve">Amazoone Ceramics Ltd.</t>
  </si>
  <si>
    <t xml:space="preserve">31 May 2024</t>
  </si>
  <si>
    <t xml:space="preserve">114</t>
  </si>
  <si>
    <t xml:space="preserve">Ambati Subbanna &amp; Company Oil Firm</t>
  </si>
  <si>
    <t xml:space="preserve">15 Sep 2017</t>
  </si>
  <si>
    <t xml:space="preserve">115</t>
  </si>
  <si>
    <t xml:space="preserve">Ambica Timbertrade Pvt. Ltd.</t>
  </si>
  <si>
    <t xml:space="preserve">02 May 2018</t>
  </si>
  <si>
    <t xml:space="preserve">116</t>
  </si>
  <si>
    <t xml:space="preserve">Ambuja Pipes Private Limited</t>
  </si>
  <si>
    <t xml:space="preserve">117</t>
  </si>
  <si>
    <t xml:space="preserve">Ami Riddhi Chem Pvt. Ltd.</t>
  </si>
  <si>
    <t xml:space="preserve">118</t>
  </si>
  <si>
    <t xml:space="preserve">Amit Engineers</t>
  </si>
  <si>
    <t xml:space="preserve">03 Oct 2017</t>
  </si>
  <si>
    <t xml:space="preserve">119</t>
  </si>
  <si>
    <t xml:space="preserve">Amit Enterprises Housing Limited</t>
  </si>
  <si>
    <t xml:space="preserve">05 Mar 2021</t>
  </si>
  <si>
    <t xml:space="preserve">120</t>
  </si>
  <si>
    <t xml:space="preserve">Amit Polypipes Private Limited</t>
  </si>
  <si>
    <t xml:space="preserve">121</t>
  </si>
  <si>
    <t xml:space="preserve">Amma Chandravati Educational &amp; Charitable Trust</t>
  </si>
  <si>
    <t xml:space="preserve">122</t>
  </si>
  <si>
    <t xml:space="preserve">Amon-Ra Impex Private Limited</t>
  </si>
  <si>
    <t xml:space="preserve">123</t>
  </si>
  <si>
    <t xml:space="preserve">Amrut Cotton Industries</t>
  </si>
  <si>
    <t xml:space="preserve">124</t>
  </si>
  <si>
    <t xml:space="preserve">Analyser Instrument Company Private Limited</t>
  </si>
  <si>
    <t xml:space="preserve">15 Apr 2019</t>
  </si>
  <si>
    <t xml:space="preserve">125</t>
  </si>
  <si>
    <t xml:space="preserve">Anand Cranks</t>
  </si>
  <si>
    <t xml:space="preserve">126</t>
  </si>
  <si>
    <t xml:space="preserve">Anand Rice Mills</t>
  </si>
  <si>
    <t xml:space="preserve">29 Nov 2018</t>
  </si>
  <si>
    <t xml:space="preserve">127</t>
  </si>
  <si>
    <t xml:space="preserve">Anandalok Hospital</t>
  </si>
  <si>
    <t xml:space="preserve">17 Dec 2018</t>
  </si>
  <si>
    <t xml:space="preserve">128</t>
  </si>
  <si>
    <t xml:space="preserve">Anant Promoters And Fincon Private Limited</t>
  </si>
  <si>
    <t xml:space="preserve">129</t>
  </si>
  <si>
    <t xml:space="preserve">Anantha PVC Pipes Private Limited</t>
  </si>
  <si>
    <t xml:space="preserve">28 Sep 2020</t>
  </si>
  <si>
    <t xml:space="preserve">130</t>
  </si>
  <si>
    <t xml:space="preserve">Ananya Hospital Private Limited</t>
  </si>
  <si>
    <t xml:space="preserve">131</t>
  </si>
  <si>
    <t xml:space="preserve">Andhra Ferro Alloys Limited</t>
  </si>
  <si>
    <t xml:space="preserve">132</t>
  </si>
  <si>
    <t xml:space="preserve">Andhra Polymers Private Limited</t>
  </si>
  <si>
    <t xml:space="preserve">29 Jun 2020</t>
  </si>
  <si>
    <t xml:space="preserve">133</t>
  </si>
  <si>
    <t xml:space="preserve">Aneesh Ahmad Khan</t>
  </si>
  <si>
    <t xml:space="preserve">02 Nov 2017</t>
  </si>
  <si>
    <t xml:space="preserve">134</t>
  </si>
  <si>
    <t xml:space="preserve">Anil Neerukonda Educational Society</t>
  </si>
  <si>
    <t xml:space="preserve">30 Apr 2024</t>
  </si>
  <si>
    <t xml:space="preserve">135</t>
  </si>
  <si>
    <t xml:space="preserve">Anisha Enterprises</t>
  </si>
  <si>
    <t xml:space="preserve">136</t>
  </si>
  <si>
    <t xml:space="preserve">Anishka Developers Private Limited</t>
  </si>
  <si>
    <t xml:space="preserve">26 Jul 2019</t>
  </si>
  <si>
    <t xml:space="preserve">137</t>
  </si>
  <si>
    <t xml:space="preserve">Anjali Infracrete Private Limited</t>
  </si>
  <si>
    <t xml:space="preserve">17 Aug 2020</t>
  </si>
  <si>
    <t xml:space="preserve">138</t>
  </si>
  <si>
    <t xml:space="preserve">Anjaneya Rice Industries</t>
  </si>
  <si>
    <t xml:space="preserve">21 Nov 2017</t>
  </si>
  <si>
    <t xml:space="preserve">139</t>
  </si>
  <si>
    <t xml:space="preserve">Ankit Diamonds</t>
  </si>
  <si>
    <t xml:space="preserve">140</t>
  </si>
  <si>
    <t xml:space="preserve">Ankit Pulps And Boards Private Limited</t>
  </si>
  <si>
    <t xml:space="preserve">28 Apr 2020</t>
  </si>
  <si>
    <t xml:space="preserve">141</t>
  </si>
  <si>
    <t xml:space="preserve">Anmol Cold Storage</t>
  </si>
  <si>
    <t xml:space="preserve">142</t>
  </si>
  <si>
    <t xml:space="preserve">Anmol Feeds Private Limited</t>
  </si>
  <si>
    <t xml:space="preserve">11 Jul 2024</t>
  </si>
  <si>
    <t xml:space="preserve">143</t>
  </si>
  <si>
    <t xml:space="preserve">Annadata Rice Mill</t>
  </si>
  <si>
    <t xml:space="preserve">25 Sep 2017</t>
  </si>
  <si>
    <t xml:space="preserve">144</t>
  </si>
  <si>
    <t xml:space="preserve">Annapoorani Yarns</t>
  </si>
  <si>
    <t xml:space="preserve">09 Jun 2017</t>
  </si>
  <si>
    <t xml:space="preserve">145</t>
  </si>
  <si>
    <t xml:space="preserve">Annapurna Industries</t>
  </si>
  <si>
    <t xml:space="preserve">08 Jun 2017</t>
  </si>
  <si>
    <t xml:space="preserve">146</t>
  </si>
  <si>
    <t xml:space="preserve">Annapurna Trading Company</t>
  </si>
  <si>
    <t xml:space="preserve">147</t>
  </si>
  <si>
    <t xml:space="preserve">Ansaldocaldaie GB Engineering Private Limited</t>
  </si>
  <si>
    <t xml:space="preserve">20 Nov 2017</t>
  </si>
  <si>
    <t xml:space="preserve">148</t>
  </si>
  <si>
    <t xml:space="preserve">Anshul Impex Private Limited</t>
  </si>
  <si>
    <t xml:space="preserve">17 Oct 2017</t>
  </si>
  <si>
    <t xml:space="preserve">149</t>
  </si>
  <si>
    <t xml:space="preserve">Antique Art Exports Pvt. Ltd.</t>
  </si>
  <si>
    <t xml:space="preserve">31 Jan 2019</t>
  </si>
  <si>
    <t xml:space="preserve">150</t>
  </si>
  <si>
    <t xml:space="preserve">Antique Cottex Private Limited</t>
  </si>
  <si>
    <t xml:space="preserve">151</t>
  </si>
  <si>
    <t xml:space="preserve">Anu Constructions</t>
  </si>
  <si>
    <t xml:space="preserve">28 Feb 2024</t>
  </si>
  <si>
    <t xml:space="preserve">152</t>
  </si>
  <si>
    <t xml:space="preserve">Apar Charitable Trust For Education And Research</t>
  </si>
  <si>
    <t xml:space="preserve">30 Jun 2020</t>
  </si>
  <si>
    <t xml:space="preserve">153</t>
  </si>
  <si>
    <t xml:space="preserve">Apeejay Tea Limited</t>
  </si>
  <si>
    <t xml:space="preserve">14 Jul 2021</t>
  </si>
  <si>
    <t xml:space="preserve">154</t>
  </si>
  <si>
    <t xml:space="preserve">Apex Constructions</t>
  </si>
  <si>
    <t xml:space="preserve">155</t>
  </si>
  <si>
    <t xml:space="preserve">Apex Premises Private Limited</t>
  </si>
  <si>
    <t xml:space="preserve">30 Mar 2022</t>
  </si>
  <si>
    <t xml:space="preserve">156</t>
  </si>
  <si>
    <t xml:space="preserve">Api Associates Private Limited</t>
  </si>
  <si>
    <t xml:space="preserve">05 Jul 2018</t>
  </si>
  <si>
    <t xml:space="preserve">157</t>
  </si>
  <si>
    <t xml:space="preserve">Aplab Limited</t>
  </si>
  <si>
    <t xml:space="preserve">21 Feb 2017</t>
  </si>
  <si>
    <t xml:space="preserve">158</t>
  </si>
  <si>
    <t xml:space="preserve">Apm Infrastructure Private Limited</t>
  </si>
  <si>
    <t xml:space="preserve">28 Feb 2019</t>
  </si>
  <si>
    <t xml:space="preserve">159</t>
  </si>
  <si>
    <t xml:space="preserve">Appollo Distilleries Private Limited</t>
  </si>
  <si>
    <t xml:space="preserve">04 Jan 2017</t>
  </si>
  <si>
    <t xml:space="preserve">160</t>
  </si>
  <si>
    <t xml:space="preserve">Apr Constructions Limited</t>
  </si>
  <si>
    <t xml:space="preserve">29 Apr 2020</t>
  </si>
  <si>
    <t xml:space="preserve">161</t>
  </si>
  <si>
    <t xml:space="preserve">Apurvakriti Infrastructure Private Limited</t>
  </si>
  <si>
    <t xml:space="preserve">16 Apr 2018</t>
  </si>
  <si>
    <t xml:space="preserve">162</t>
  </si>
  <si>
    <t xml:space="preserve">Aqua Developers</t>
  </si>
  <si>
    <t xml:space="preserve">163</t>
  </si>
  <si>
    <t xml:space="preserve">Aquatech Systems Asia Private Limited</t>
  </si>
  <si>
    <t xml:space="preserve">164</t>
  </si>
  <si>
    <t xml:space="preserve">Arambhan Hospitality Services Limited (Erstwhile Cawasji Behramji Catering Services Limited)</t>
  </si>
  <si>
    <t xml:space="preserve">27 Dec 2018</t>
  </si>
  <si>
    <t xml:space="preserve">165</t>
  </si>
  <si>
    <t xml:space="preserve">Ardom Towergen Private Limited</t>
  </si>
  <si>
    <t xml:space="preserve">166</t>
  </si>
  <si>
    <t xml:space="preserve">Arene Life Sciences Limited</t>
  </si>
  <si>
    <t xml:space="preserve">05 Aug 2019</t>
  </si>
  <si>
    <t xml:space="preserve">167</t>
  </si>
  <si>
    <t xml:space="preserve">ARG Outlier Media Private Limited</t>
  </si>
  <si>
    <t xml:space="preserve">07 Aug 2024</t>
  </si>
  <si>
    <t xml:space="preserve">168</t>
  </si>
  <si>
    <t xml:space="preserve">Arhyama Solar Power Private Limited</t>
  </si>
  <si>
    <t xml:space="preserve">18 Jul 2017</t>
  </si>
  <si>
    <t xml:space="preserve">169</t>
  </si>
  <si>
    <t xml:space="preserve">Arihant Dream Infra Projects Limited</t>
  </si>
  <si>
    <t xml:space="preserve">06 Oct 2017</t>
  </si>
  <si>
    <t xml:space="preserve">170</t>
  </si>
  <si>
    <t xml:space="preserve">Arihant Solvex Private Limited</t>
  </si>
  <si>
    <t xml:space="preserve">171</t>
  </si>
  <si>
    <t xml:space="preserve">Aristo Industries</t>
  </si>
  <si>
    <t xml:space="preserve">172</t>
  </si>
  <si>
    <t xml:space="preserve">Arkas Energy LLP</t>
  </si>
  <si>
    <t xml:space="preserve">06 Mar 2024</t>
  </si>
  <si>
    <t xml:space="preserve">173</t>
  </si>
  <si>
    <t xml:space="preserve">Arkiton Tiles LLP</t>
  </si>
  <si>
    <t xml:space="preserve">17 Jan 2022</t>
  </si>
  <si>
    <t xml:space="preserve">174</t>
  </si>
  <si>
    <t xml:space="preserve">Armaan Industries Pvt. Ltd.</t>
  </si>
  <si>
    <t xml:space="preserve">175</t>
  </si>
  <si>
    <t xml:space="preserve">Arnav Technosoft Private Limited</t>
  </si>
  <si>
    <t xml:space="preserve">176</t>
  </si>
  <si>
    <t xml:space="preserve">Arpeggio Industries Pvt. Ltd</t>
  </si>
  <si>
    <t xml:space="preserve">21 Dec 2022</t>
  </si>
  <si>
    <t xml:space="preserve">177</t>
  </si>
  <si>
    <t xml:space="preserve">Arqube Industries (India) Limited</t>
  </si>
  <si>
    <t xml:space="preserve">29 Dec 2017</t>
  </si>
  <si>
    <t xml:space="preserve">178</t>
  </si>
  <si>
    <t xml:space="preserve">Arshit Gems</t>
  </si>
  <si>
    <t xml:space="preserve">27 Mar 2018</t>
  </si>
  <si>
    <t xml:space="preserve">179</t>
  </si>
  <si>
    <t xml:space="preserve">Arunachal Tea &amp; Industries Pvt. Ltd.</t>
  </si>
  <si>
    <t xml:space="preserve">04 Aug 2021</t>
  </si>
  <si>
    <t xml:space="preserve">180</t>
  </si>
  <si>
    <t xml:space="preserve">Arunesh Saw Mills</t>
  </si>
  <si>
    <t xml:space="preserve">12 Feb 2021</t>
  </si>
  <si>
    <t xml:space="preserve">181</t>
  </si>
  <si>
    <t xml:space="preserve">Aruppukottai Shri Ramalinga Spinners Private Limited</t>
  </si>
  <si>
    <t xml:space="preserve">17 Sep 2018</t>
  </si>
  <si>
    <t xml:space="preserve">182</t>
  </si>
  <si>
    <t xml:space="preserve">Arvind And Rajan Constructions</t>
  </si>
  <si>
    <t xml:space="preserve">183</t>
  </si>
  <si>
    <t xml:space="preserve">Arvind Pipes &amp; Fittings Industries Private Limited</t>
  </si>
  <si>
    <t xml:space="preserve">30 Nov 2017</t>
  </si>
  <si>
    <t xml:space="preserve">184</t>
  </si>
  <si>
    <t xml:space="preserve">Aryan Construction &amp; Associates</t>
  </si>
  <si>
    <t xml:space="preserve">28 Jul 2023</t>
  </si>
  <si>
    <t xml:space="preserve">185</t>
  </si>
  <si>
    <t xml:space="preserve">Asa Bhanu Technical Services Limited</t>
  </si>
  <si>
    <t xml:space="preserve">08 Feb 2024</t>
  </si>
  <si>
    <t xml:space="preserve">186</t>
  </si>
  <si>
    <t xml:space="preserve">ASB Projects Limited</t>
  </si>
  <si>
    <t xml:space="preserve">187</t>
  </si>
  <si>
    <t xml:space="preserve">Ascend Green Homes</t>
  </si>
  <si>
    <t xml:space="preserve">07 Sep 2017</t>
  </si>
  <si>
    <t xml:space="preserve">188</t>
  </si>
  <si>
    <t xml:space="preserve">Ascott Electricals Private Limited</t>
  </si>
  <si>
    <t xml:space="preserve">28 Sep 2018</t>
  </si>
  <si>
    <t xml:space="preserve">189</t>
  </si>
  <si>
    <t xml:space="preserve">Aseem Exports</t>
  </si>
  <si>
    <t xml:space="preserve">16 Oct 2018</t>
  </si>
  <si>
    <t xml:space="preserve">190</t>
  </si>
  <si>
    <t xml:space="preserve">Ashiana Dwellings Private Limited</t>
  </si>
  <si>
    <t xml:space="preserve">14 Mar 2019</t>
  </si>
  <si>
    <t xml:space="preserve">191</t>
  </si>
  <si>
    <t xml:space="preserve">Ashirvad Industries &amp; Infrastructure</t>
  </si>
  <si>
    <t xml:space="preserve">192</t>
  </si>
  <si>
    <t xml:space="preserve">Ashish Builders and Developers</t>
  </si>
  <si>
    <t xml:space="preserve">04 Aug 2017</t>
  </si>
  <si>
    <t xml:space="preserve">193</t>
  </si>
  <si>
    <t xml:space="preserve">Ashish Construction Co.</t>
  </si>
  <si>
    <t xml:space="preserve">29 May 2017</t>
  </si>
  <si>
    <t xml:space="preserve">194</t>
  </si>
  <si>
    <t xml:space="preserve">Ashok Bricks Industries Private Limited</t>
  </si>
  <si>
    <t xml:space="preserve">22 May 2017</t>
  </si>
  <si>
    <t xml:space="preserve">195</t>
  </si>
  <si>
    <t xml:space="preserve">Ashok Handlooms Factory Private Limited</t>
  </si>
  <si>
    <t xml:space="preserve">19 Aug 2022</t>
  </si>
  <si>
    <t xml:space="preserve">196</t>
  </si>
  <si>
    <t xml:space="preserve">Ashoka Distillers &amp; Chemicals Private Limited</t>
  </si>
  <si>
    <t xml:space="preserve">09 Aug 2017</t>
  </si>
  <si>
    <t xml:space="preserve">197</t>
  </si>
  <si>
    <t xml:space="preserve">Ashritha Health Care Pvt Ltd</t>
  </si>
  <si>
    <t xml:space="preserve">198</t>
  </si>
  <si>
    <t xml:space="preserve">Ashutosh Container Services Private Limited</t>
  </si>
  <si>
    <t xml:space="preserve">25 Jul 2024</t>
  </si>
  <si>
    <t xml:space="preserve">199</t>
  </si>
  <si>
    <t xml:space="preserve">Ashwinram Spinning Mills Private Limited</t>
  </si>
  <si>
    <t xml:space="preserve">200</t>
  </si>
  <si>
    <t xml:space="preserve">Asian Construction Company</t>
  </si>
  <si>
    <t xml:space="preserve">09 Jan 2017</t>
  </si>
  <si>
    <t xml:space="preserve">201</t>
  </si>
  <si>
    <t xml:space="preserve">Asian Food Industries</t>
  </si>
  <si>
    <t xml:space="preserve">27 Apr 2023</t>
  </si>
  <si>
    <t xml:space="preserve">202</t>
  </si>
  <si>
    <t xml:space="preserve">Asian Granito India Limited</t>
  </si>
  <si>
    <t xml:space="preserve">203</t>
  </si>
  <si>
    <t xml:space="preserve">Asian Handicrafts Private Limited</t>
  </si>
  <si>
    <t xml:space="preserve">04 Oct 2017</t>
  </si>
  <si>
    <t xml:space="preserve">204</t>
  </si>
  <si>
    <t xml:space="preserve">ASN Agri Genetic Private Limited</t>
  </si>
  <si>
    <t xml:space="preserve">10 Oct 2018</t>
  </si>
  <si>
    <t xml:space="preserve">205</t>
  </si>
  <si>
    <t xml:space="preserve">Asopalav Developers</t>
  </si>
  <si>
    <t xml:space="preserve">30 Sep 2019</t>
  </si>
  <si>
    <t xml:space="preserve">206</t>
  </si>
  <si>
    <t xml:space="preserve">Assam Petro-Chemicals Limited</t>
  </si>
  <si>
    <t xml:space="preserve">31 Dec 2024</t>
  </si>
  <si>
    <t xml:space="preserve">207</t>
  </si>
  <si>
    <t xml:space="preserve">Assam Timber Products Private Limited</t>
  </si>
  <si>
    <t xml:space="preserve">15 Dec 2020</t>
  </si>
  <si>
    <t xml:space="preserve">208</t>
  </si>
  <si>
    <t xml:space="preserve">Associated Works Infra Pvt. Ltd.</t>
  </si>
  <si>
    <t xml:space="preserve">06 Jun 2023</t>
  </si>
  <si>
    <t xml:space="preserve">209</t>
  </si>
  <si>
    <t xml:space="preserve">Assorted Plastics Private Limited</t>
  </si>
  <si>
    <t xml:space="preserve">28 Dec 2020</t>
  </si>
  <si>
    <t xml:space="preserve">210</t>
  </si>
  <si>
    <t xml:space="preserve">ATC Foods Private Limited</t>
  </si>
  <si>
    <t xml:space="preserve">19 Aug 2020</t>
  </si>
  <si>
    <t xml:space="preserve">211</t>
  </si>
  <si>
    <t xml:space="preserve">ATC Logistics Private Limited</t>
  </si>
  <si>
    <t xml:space="preserve">212</t>
  </si>
  <si>
    <t xml:space="preserve">Atlas Cycles (Haryana) Limited</t>
  </si>
  <si>
    <t xml:space="preserve">27 Nov 2020</t>
  </si>
  <si>
    <t xml:space="preserve">213</t>
  </si>
  <si>
    <t xml:space="preserve">Atul Automotives</t>
  </si>
  <si>
    <t xml:space="preserve">214</t>
  </si>
  <si>
    <t xml:space="preserve">Atul Motors Private Limited</t>
  </si>
  <si>
    <t xml:space="preserve">30 Aug 2019</t>
  </si>
  <si>
    <t xml:space="preserve">215</t>
  </si>
  <si>
    <t xml:space="preserve">Aukland Ceramic Private Limited</t>
  </si>
  <si>
    <t xml:space="preserve">216</t>
  </si>
  <si>
    <t xml:space="preserve">Aurangabad Municipal Corporation</t>
  </si>
  <si>
    <t xml:space="preserve">23 Jun 2022</t>
  </si>
  <si>
    <t xml:space="preserve">217</t>
  </si>
  <si>
    <t xml:space="preserve">Auraya Healthcare</t>
  </si>
  <si>
    <t xml:space="preserve">218</t>
  </si>
  <si>
    <t xml:space="preserve">Auro Impex &amp; Chemicals Pvt Ltd</t>
  </si>
  <si>
    <t xml:space="preserve">219</t>
  </si>
  <si>
    <t xml:space="preserve">Auro Industries Limited</t>
  </si>
  <si>
    <t xml:space="preserve">220</t>
  </si>
  <si>
    <t xml:space="preserve">Aurora Apparel Private Limited</t>
  </si>
  <si>
    <t xml:space="preserve">29 May 2023</t>
  </si>
  <si>
    <t xml:space="preserve">221</t>
  </si>
  <si>
    <t xml:space="preserve">AUTHUM INVESTMENT &amp; INFRASTRUCTURE LIMITED</t>
  </si>
  <si>
    <t xml:space="preserve">19 Nov 2019</t>
  </si>
  <si>
    <t xml:space="preserve">222</t>
  </si>
  <si>
    <t xml:space="preserve">Auto Hi-tech Private Limited</t>
  </si>
  <si>
    <t xml:space="preserve">223</t>
  </si>
  <si>
    <t xml:space="preserve">Autometers Alliance Limited</t>
  </si>
  <si>
    <t xml:space="preserve">09 Oct 2020</t>
  </si>
  <si>
    <t xml:space="preserve">224</t>
  </si>
  <si>
    <t xml:space="preserve">Avadh Cotex Private Limited</t>
  </si>
  <si>
    <t xml:space="preserve">26 Nov 2019</t>
  </si>
  <si>
    <t xml:space="preserve">225</t>
  </si>
  <si>
    <t xml:space="preserve">Avadh Cotton Industries - Jamnagar</t>
  </si>
  <si>
    <t xml:space="preserve">14 Jun 2017</t>
  </si>
  <si>
    <t xml:space="preserve">226</t>
  </si>
  <si>
    <t xml:space="preserve">Avani Petrochem Private Limited</t>
  </si>
  <si>
    <t xml:space="preserve">227</t>
  </si>
  <si>
    <t xml:space="preserve">Aveena Milk Products</t>
  </si>
  <si>
    <t xml:space="preserve">228</t>
  </si>
  <si>
    <t xml:space="preserve">Avera Resource Private Limited</t>
  </si>
  <si>
    <t xml:space="preserve">229</t>
  </si>
  <si>
    <t xml:space="preserve">Avia Ceramic Pvt. Ltd</t>
  </si>
  <si>
    <t xml:space="preserve">24 Apr 2020</t>
  </si>
  <si>
    <t xml:space="preserve">230</t>
  </si>
  <si>
    <t xml:space="preserve">Avni Energy Solutions Private Limited</t>
  </si>
  <si>
    <t xml:space="preserve">12 Jun 2018</t>
  </si>
  <si>
    <t xml:space="preserve">231</t>
  </si>
  <si>
    <t xml:space="preserve">Axis Garment Designer</t>
  </si>
  <si>
    <t xml:space="preserve">232</t>
  </si>
  <si>
    <t xml:space="preserve">Axison Vitrified Pvt. Ltd.</t>
  </si>
  <si>
    <t xml:space="preserve">13 May 2019</t>
  </si>
  <si>
    <t xml:space="preserve">233</t>
  </si>
  <si>
    <t xml:space="preserve">Axora Resources Limited</t>
  </si>
  <si>
    <t xml:space="preserve">31 Jan 2024</t>
  </si>
  <si>
    <t xml:space="preserve">234</t>
  </si>
  <si>
    <t xml:space="preserve">Ayaan Trendz Private Limited</t>
  </si>
  <si>
    <t xml:space="preserve">24 Jul 2017</t>
  </si>
  <si>
    <t xml:space="preserve">235</t>
  </si>
  <si>
    <t xml:space="preserve">Ayushman Merchants Private Limited</t>
  </si>
  <si>
    <t xml:space="preserve">31 Jan 2022</t>
  </si>
  <si>
    <t xml:space="preserve">236</t>
  </si>
  <si>
    <t xml:space="preserve">Ayyan Fireworks Factory Private Limited</t>
  </si>
  <si>
    <t xml:space="preserve">01 Mar 2017</t>
  </si>
  <si>
    <t xml:space="preserve">237</t>
  </si>
  <si>
    <t xml:space="preserve">Azad Impex Private Limited</t>
  </si>
  <si>
    <t xml:space="preserve">03 Apr 2018</t>
  </si>
  <si>
    <t xml:space="preserve">238</t>
  </si>
  <si>
    <t xml:space="preserve">Azam Rubber Products Private Limited</t>
  </si>
  <si>
    <t xml:space="preserve">21 Oct 2022</t>
  </si>
  <si>
    <t xml:space="preserve">239</t>
  </si>
  <si>
    <t xml:space="preserve">Azine Healthcare Pvt. Ltd.</t>
  </si>
  <si>
    <t xml:space="preserve">01 Nov 2017</t>
  </si>
  <si>
    <t xml:space="preserve">240</t>
  </si>
  <si>
    <t xml:space="preserve">Aziz Enterprises</t>
  </si>
  <si>
    <t xml:space="preserve">16 Aug 2017</t>
  </si>
  <si>
    <t xml:space="preserve">241</t>
  </si>
  <si>
    <t xml:space="preserve">B Fouress (P) Limited</t>
  </si>
  <si>
    <t xml:space="preserve">30 Jan 2025</t>
  </si>
  <si>
    <t xml:space="preserve">242</t>
  </si>
  <si>
    <t xml:space="preserve">B L Goel &amp; Company</t>
  </si>
  <si>
    <t xml:space="preserve">243</t>
  </si>
  <si>
    <t xml:space="preserve">B. K. Exports</t>
  </si>
  <si>
    <t xml:space="preserve">244</t>
  </si>
  <si>
    <t xml:space="preserve">B. P. Food Products Pvt Ltd</t>
  </si>
  <si>
    <t xml:space="preserve">12 Sep 2017</t>
  </si>
  <si>
    <t xml:space="preserve">245</t>
  </si>
  <si>
    <t xml:space="preserve">B. V. Cot Spin Industries</t>
  </si>
  <si>
    <t xml:space="preserve">29 Apr 2019</t>
  </si>
  <si>
    <t xml:space="preserve">246</t>
  </si>
  <si>
    <t xml:space="preserve">B.D. Steels Private Limited</t>
  </si>
  <si>
    <t xml:space="preserve">247</t>
  </si>
  <si>
    <t xml:space="preserve">B.H.Cotton Private Limited</t>
  </si>
  <si>
    <t xml:space="preserve">27 Jan 2021</t>
  </si>
  <si>
    <t xml:space="preserve">248</t>
  </si>
  <si>
    <t xml:space="preserve">B.K. Print And Pack</t>
  </si>
  <si>
    <t xml:space="preserve">249</t>
  </si>
  <si>
    <t xml:space="preserve">B.K.Threshers Pvt. Ltd</t>
  </si>
  <si>
    <t xml:space="preserve">250</t>
  </si>
  <si>
    <t xml:space="preserve">B.L.D.E University</t>
  </si>
  <si>
    <t xml:space="preserve">251</t>
  </si>
  <si>
    <t xml:space="preserve">B.R. Guar Gum Private Limited</t>
  </si>
  <si>
    <t xml:space="preserve">31 Oct 2018</t>
  </si>
  <si>
    <t xml:space="preserve">252</t>
  </si>
  <si>
    <t xml:space="preserve">B.S. Agriculture Industries (India)</t>
  </si>
  <si>
    <t xml:space="preserve">253</t>
  </si>
  <si>
    <t xml:space="preserve">B.V.L. Exports Private Limited</t>
  </si>
  <si>
    <t xml:space="preserve">254</t>
  </si>
  <si>
    <t xml:space="preserve">Baba Akhila Sai Jyothi Industries Private Limited</t>
  </si>
  <si>
    <t xml:space="preserve">26 Feb 2018</t>
  </si>
  <si>
    <t xml:space="preserve">255</t>
  </si>
  <si>
    <t xml:space="preserve">Baba Bhuman Shah Ji Rice Mills</t>
  </si>
  <si>
    <t xml:space="preserve">26 Jul 2017</t>
  </si>
  <si>
    <t xml:space="preserve">256</t>
  </si>
  <si>
    <t xml:space="preserve">Baba Ispat (P) Ltd.</t>
  </si>
  <si>
    <t xml:space="preserve">17 Jan 2024</t>
  </si>
  <si>
    <t xml:space="preserve">257</t>
  </si>
  <si>
    <t xml:space="preserve">Baba Jatadhari Agro (India) Pvt Ltd</t>
  </si>
  <si>
    <t xml:space="preserve">258</t>
  </si>
  <si>
    <t xml:space="preserve">Baba Jhareswar Multipurpose Himghar Private Limited</t>
  </si>
  <si>
    <t xml:space="preserve">259</t>
  </si>
  <si>
    <t xml:space="preserve">Badangpet Municipal Corporation</t>
  </si>
  <si>
    <t xml:space="preserve">22 Apr 2022</t>
  </si>
  <si>
    <t xml:space="preserve">260</t>
  </si>
  <si>
    <t xml:space="preserve">Badepally Municipality</t>
  </si>
  <si>
    <t xml:space="preserve">261</t>
  </si>
  <si>
    <t xml:space="preserve">Bafna Ginning And Pressing Private Limited</t>
  </si>
  <si>
    <t xml:space="preserve">262</t>
  </si>
  <si>
    <t xml:space="preserve">Bafna Motors (Mumbai) Private Limited</t>
  </si>
  <si>
    <t xml:space="preserve">28 Jul 2022</t>
  </si>
  <si>
    <t xml:space="preserve">263</t>
  </si>
  <si>
    <t xml:space="preserve">Bafna Motors Pune Pvt Ltd</t>
  </si>
  <si>
    <t xml:space="preserve">15 Feb 2022</t>
  </si>
  <si>
    <t xml:space="preserve">264</t>
  </si>
  <si>
    <t xml:space="preserve">Bagga Link Motors Limited</t>
  </si>
  <si>
    <t xml:space="preserve">24 Sep 2021</t>
  </si>
  <si>
    <t xml:space="preserve">265</t>
  </si>
  <si>
    <t xml:space="preserve">Bagga Luxury Motorcars Llp</t>
  </si>
  <si>
    <t xml:space="preserve">12 Jul 2017</t>
  </si>
  <si>
    <t xml:space="preserve">266</t>
  </si>
  <si>
    <t xml:space="preserve">Bahra Educational And Charitable Society</t>
  </si>
  <si>
    <t xml:space="preserve">04 Oct 2018</t>
  </si>
  <si>
    <t xml:space="preserve">267</t>
  </si>
  <si>
    <t xml:space="preserve">Bajrang Bronze Llp</t>
  </si>
  <si>
    <t xml:space="preserve">268</t>
  </si>
  <si>
    <t xml:space="preserve">Bajrang Ginning &amp; Pressing Factory</t>
  </si>
  <si>
    <t xml:space="preserve">269</t>
  </si>
  <si>
    <t xml:space="preserve">Balaji Educational and Cultural Trust</t>
  </si>
  <si>
    <t xml:space="preserve">08 May 2023</t>
  </si>
  <si>
    <t xml:space="preserve">270</t>
  </si>
  <si>
    <t xml:space="preserve">Balaji Industrial and Agricultural Castings Private Limited</t>
  </si>
  <si>
    <t xml:space="preserve">271</t>
  </si>
  <si>
    <t xml:space="preserve">Balaji Motors</t>
  </si>
  <si>
    <t xml:space="preserve">272</t>
  </si>
  <si>
    <t xml:space="preserve">Balaji Overseas</t>
  </si>
  <si>
    <t xml:space="preserve">273</t>
  </si>
  <si>
    <t xml:space="preserve">Balason Tea Company Private Limited</t>
  </si>
  <si>
    <t xml:space="preserve">26 Oct 2018</t>
  </si>
  <si>
    <t xml:space="preserve">274</t>
  </si>
  <si>
    <t xml:space="preserve">Baldev Textile Mills Private Limited</t>
  </si>
  <si>
    <t xml:space="preserve">275</t>
  </si>
  <si>
    <t xml:space="preserve">Baldovino</t>
  </si>
  <si>
    <t xml:space="preserve">276</t>
  </si>
  <si>
    <t xml:space="preserve">Banas Stones Pvt. Ltd.</t>
  </si>
  <si>
    <t xml:space="preserve">26 Sep 2024</t>
  </si>
  <si>
    <t xml:space="preserve">277</t>
  </si>
  <si>
    <t xml:space="preserve">Banashankari Agro Farms LLP</t>
  </si>
  <si>
    <t xml:space="preserve">30 Apr 2020</t>
  </si>
  <si>
    <t xml:space="preserve">278</t>
  </si>
  <si>
    <t xml:space="preserve">Bandlaguda Jagir Municipal Corporation</t>
  </si>
  <si>
    <t xml:space="preserve">20 May 2022</t>
  </si>
  <si>
    <t xml:space="preserve">279</t>
  </si>
  <si>
    <t xml:space="preserve">Bangalore Institute Of Gastroenterology Private Limited</t>
  </si>
  <si>
    <t xml:space="preserve">280</t>
  </si>
  <si>
    <t xml:space="preserve">Bangalore Metallurgicals Private Limited</t>
  </si>
  <si>
    <t xml:space="preserve">09 Oct 2017</t>
  </si>
  <si>
    <t xml:space="preserve">281</t>
  </si>
  <si>
    <t xml:space="preserve">Banox Exim Private Limited</t>
  </si>
  <si>
    <t xml:space="preserve">22 Oct 2021</t>
  </si>
  <si>
    <t xml:space="preserve">282</t>
  </si>
  <si>
    <t xml:space="preserve">Bansal Foods (India)</t>
  </si>
  <si>
    <t xml:space="preserve">26 Apr 2018</t>
  </si>
  <si>
    <t xml:space="preserve">283</t>
  </si>
  <si>
    <t xml:space="preserve">Bansal Iron &amp; Steel Rolling Mills</t>
  </si>
  <si>
    <t xml:space="preserve">284</t>
  </si>
  <si>
    <t xml:space="preserve">Bansidhar Agarwalla &amp; Co. Pvt Ltd Unit: Chinsurah Cold Storage</t>
  </si>
  <si>
    <t xml:space="preserve">21 Jun 2017</t>
  </si>
  <si>
    <t xml:space="preserve">285</t>
  </si>
  <si>
    <t xml:space="preserve">Baraka Overseas Traders</t>
  </si>
  <si>
    <t xml:space="preserve">28 Jul 2020</t>
  </si>
  <si>
    <t xml:space="preserve">286</t>
  </si>
  <si>
    <t xml:space="preserve">Baramati Tollways Private Limited</t>
  </si>
  <si>
    <t xml:space="preserve">287</t>
  </si>
  <si>
    <t xml:space="preserve">Barani Ferrocast Private Limited</t>
  </si>
  <si>
    <t xml:space="preserve">288</t>
  </si>
  <si>
    <t xml:space="preserve">Barasat Krishnagar Expressways Limited</t>
  </si>
  <si>
    <t xml:space="preserve">13 Oct 2017</t>
  </si>
  <si>
    <t xml:space="preserve">289</t>
  </si>
  <si>
    <t xml:space="preserve">Bardhaman Agro Products (I) Pvt. Ltd.</t>
  </si>
  <si>
    <t xml:space="preserve">290</t>
  </si>
  <si>
    <t xml:space="preserve">Bardiya Real Estate Developers Private Limited</t>
  </si>
  <si>
    <t xml:space="preserve">291</t>
  </si>
  <si>
    <t xml:space="preserve">Baroda Agro Chemicals Limited</t>
  </si>
  <si>
    <t xml:space="preserve">292</t>
  </si>
  <si>
    <t xml:space="preserve">Baruapara Sk Tea Factory Pvt. Ltd.</t>
  </si>
  <si>
    <t xml:space="preserve">293</t>
  </si>
  <si>
    <t xml:space="preserve">Basantdevi Charitable Trust</t>
  </si>
  <si>
    <t xml:space="preserve">294</t>
  </si>
  <si>
    <t xml:space="preserve">Bazaar Konnections</t>
  </si>
  <si>
    <t xml:space="preserve">15 Sep 2021</t>
  </si>
  <si>
    <t xml:space="preserve">295</t>
  </si>
  <si>
    <t xml:space="preserve">Beardsell Limited</t>
  </si>
  <si>
    <t xml:space="preserve">20 Jun 2024</t>
  </si>
  <si>
    <t xml:space="preserve">296</t>
  </si>
  <si>
    <t xml:space="preserve">Beko Dimon Fishing Co</t>
  </si>
  <si>
    <t xml:space="preserve">297</t>
  </si>
  <si>
    <t xml:space="preserve">Bellona Paper Mill Pvt. Ltd.</t>
  </si>
  <si>
    <t xml:space="preserve">29 Dec 2022</t>
  </si>
  <si>
    <t xml:space="preserve">298</t>
  </si>
  <si>
    <t xml:space="preserve">Bestech Hospitalities Private Limited</t>
  </si>
  <si>
    <t xml:space="preserve">12 Sep 2023</t>
  </si>
  <si>
    <t xml:space="preserve">299</t>
  </si>
  <si>
    <t xml:space="preserve">Bestech Hotels Private Limited</t>
  </si>
  <si>
    <t xml:space="preserve">300</t>
  </si>
  <si>
    <t xml:space="preserve">Bestech India Private Limited</t>
  </si>
  <si>
    <t xml:space="preserve">301</t>
  </si>
  <si>
    <t xml:space="preserve">Bestitch Knits</t>
  </si>
  <si>
    <t xml:space="preserve">302</t>
  </si>
  <si>
    <t xml:space="preserve">Besto Mining India Pvt Ltd</t>
  </si>
  <si>
    <t xml:space="preserve">303</t>
  </si>
  <si>
    <t xml:space="preserve">Betterman Engineers Private Limited</t>
  </si>
  <si>
    <t xml:space="preserve">20 Sep 2023</t>
  </si>
  <si>
    <t xml:space="preserve">304</t>
  </si>
  <si>
    <t xml:space="preserve">Betul Biofuel Private Limited</t>
  </si>
  <si>
    <t xml:space="preserve">305</t>
  </si>
  <si>
    <t xml:space="preserve">Bevcon Wayors Private Limited</t>
  </si>
  <si>
    <t xml:space="preserve">20 May 2021</t>
  </si>
  <si>
    <t xml:space="preserve">306</t>
  </si>
  <si>
    <t xml:space="preserve">Bhadohi Carpets</t>
  </si>
  <si>
    <t xml:space="preserve">11 Jul 2017</t>
  </si>
  <si>
    <t xml:space="preserve">307</t>
  </si>
  <si>
    <t xml:space="preserve">Bhadra International (India) Private Limited</t>
  </si>
  <si>
    <t xml:space="preserve">04 Aug 2023</t>
  </si>
  <si>
    <t xml:space="preserve">308</t>
  </si>
  <si>
    <t xml:space="preserve">Bhadreshwar Vidyut Private Limited</t>
  </si>
  <si>
    <t xml:space="preserve">30 Apr 2019</t>
  </si>
  <si>
    <t xml:space="preserve">309</t>
  </si>
  <si>
    <t xml:space="preserve">Bhagabati Build &amp; Constructions Pvt. Ltd.</t>
  </si>
  <si>
    <t xml:space="preserve">26 Mar 2019</t>
  </si>
  <si>
    <t xml:space="preserve">310</t>
  </si>
  <si>
    <t xml:space="preserve">Bhagatpur Tea Co. Ltd</t>
  </si>
  <si>
    <t xml:space="preserve">03 Jul 2017</t>
  </si>
  <si>
    <t xml:space="preserve">311</t>
  </si>
  <si>
    <t xml:space="preserve">Bhagyanagar Chlorides Private Limited</t>
  </si>
  <si>
    <t xml:space="preserve">19 Jan 2023</t>
  </si>
  <si>
    <t xml:space="preserve">312</t>
  </si>
  <si>
    <t xml:space="preserve">Bhagyanagar Strips Private Limited</t>
  </si>
  <si>
    <t xml:space="preserve">20 Jul 2020</t>
  </si>
  <si>
    <t xml:space="preserve">313</t>
  </si>
  <si>
    <t xml:space="preserve">Bhagyashree Infra Projects</t>
  </si>
  <si>
    <t xml:space="preserve">314</t>
  </si>
  <si>
    <t xml:space="preserve">Bhalkeshwar Sugars Limited</t>
  </si>
  <si>
    <t xml:space="preserve">22 Dec 2022</t>
  </si>
  <si>
    <t xml:space="preserve">315</t>
  </si>
  <si>
    <t xml:space="preserve">Bhalla Chemical Works Pvt. Ltd.</t>
  </si>
  <si>
    <t xml:space="preserve">29 Oct 2021</t>
  </si>
  <si>
    <t xml:space="preserve">316</t>
  </si>
  <si>
    <t xml:space="preserve">Bhanu Construction</t>
  </si>
  <si>
    <t xml:space="preserve">23 Jun 2020</t>
  </si>
  <si>
    <t xml:space="preserve">317</t>
  </si>
  <si>
    <t xml:space="preserve">Bharat Cottage Industries</t>
  </si>
  <si>
    <t xml:space="preserve">318</t>
  </si>
  <si>
    <t xml:space="preserve">Bharat Export Overseas</t>
  </si>
  <si>
    <t xml:space="preserve">319</t>
  </si>
  <si>
    <t xml:space="preserve">Bharat Food &amp; Agro Products</t>
  </si>
  <si>
    <t xml:space="preserve">30 Jan 2019</t>
  </si>
  <si>
    <t xml:space="preserve">320</t>
  </si>
  <si>
    <t xml:space="preserve">Bharat Immunologicals &amp; Biologicals Corporation Limited</t>
  </si>
  <si>
    <t xml:space="preserve">30 Dec 2022</t>
  </si>
  <si>
    <t xml:space="preserve">321</t>
  </si>
  <si>
    <t xml:space="preserve">Bharat Iron Syndicate</t>
  </si>
  <si>
    <t xml:space="preserve">25 May 2018</t>
  </si>
  <si>
    <t xml:space="preserve">322</t>
  </si>
  <si>
    <t xml:space="preserve">Bharat Timber &amp; Construction Co.</t>
  </si>
  <si>
    <t xml:space="preserve">323</t>
  </si>
  <si>
    <t xml:space="preserve">Bhaskara Marketing Services</t>
  </si>
  <si>
    <t xml:space="preserve">15 Mar 2017</t>
  </si>
  <si>
    <t xml:space="preserve">324</t>
  </si>
  <si>
    <t xml:space="preserve">Bhatia &amp; Company</t>
  </si>
  <si>
    <t xml:space="preserve">325</t>
  </si>
  <si>
    <t xml:space="preserve">Bhatia Coke &amp; Energy Limited</t>
  </si>
  <si>
    <t xml:space="preserve">09 Aug 2018</t>
  </si>
  <si>
    <t xml:space="preserve">326</t>
  </si>
  <si>
    <t xml:space="preserve">Bhatia Colonizers Private Limited</t>
  </si>
  <si>
    <t xml:space="preserve">327</t>
  </si>
  <si>
    <t xml:space="preserve">Bhavani Cotex</t>
  </si>
  <si>
    <t xml:space="preserve">28 Oct 2019</t>
  </si>
  <si>
    <t xml:space="preserve">328</t>
  </si>
  <si>
    <t xml:space="preserve">Bhavin Agri-Infra Private Limited</t>
  </si>
  <si>
    <t xml:space="preserve">329</t>
  </si>
  <si>
    <t xml:space="preserve">Bhavya Enterprises.</t>
  </si>
  <si>
    <t xml:space="preserve">330</t>
  </si>
  <si>
    <t xml:space="preserve">Bhavyalaxmi Industries (P) Ltd.</t>
  </si>
  <si>
    <t xml:space="preserve">331</t>
  </si>
  <si>
    <t xml:space="preserve">Bhawar Lifestyle</t>
  </si>
  <si>
    <t xml:space="preserve">07 Oct 2020</t>
  </si>
  <si>
    <t xml:space="preserve">332</t>
  </si>
  <si>
    <t xml:space="preserve">Bhimavaram Municipality</t>
  </si>
  <si>
    <t xml:space="preserve">27 Jul 2018</t>
  </si>
  <si>
    <t xml:space="preserve">333</t>
  </si>
  <si>
    <t xml:space="preserve">Bhoomi Ginning Pressing Pvt Ltd</t>
  </si>
  <si>
    <t xml:space="preserve">06 Nov 2017</t>
  </si>
  <si>
    <t xml:space="preserve">334</t>
  </si>
  <si>
    <t xml:space="preserve">Biax Electric &amp; Controls Pvt. Ltd.</t>
  </si>
  <si>
    <t xml:space="preserve">27 Mar 2019</t>
  </si>
  <si>
    <t xml:space="preserve">335</t>
  </si>
  <si>
    <t xml:space="preserve">Bicero Tiles LLP</t>
  </si>
  <si>
    <t xml:space="preserve">16 Feb 2021</t>
  </si>
  <si>
    <t xml:space="preserve">336</t>
  </si>
  <si>
    <t xml:space="preserve">Big Tiles</t>
  </si>
  <si>
    <t xml:space="preserve">30 Oct 2020</t>
  </si>
  <si>
    <t xml:space="preserve">337</t>
  </si>
  <si>
    <t xml:space="preserve">Bindu Food Processors Private Limited</t>
  </si>
  <si>
    <t xml:space="preserve">338</t>
  </si>
  <si>
    <t xml:space="preserve">Binjusaria Papers Private Limited</t>
  </si>
  <si>
    <t xml:space="preserve">16 Apr 2025</t>
  </si>
  <si>
    <t xml:space="preserve">339</t>
  </si>
  <si>
    <t xml:space="preserve">Bipin Kumar Agrawal</t>
  </si>
  <si>
    <t xml:space="preserve">340</t>
  </si>
  <si>
    <t xml:space="preserve">Bird Airport Hotel Private Limited</t>
  </si>
  <si>
    <t xml:space="preserve">21 May 2021</t>
  </si>
  <si>
    <t xml:space="preserve">341</t>
  </si>
  <si>
    <t xml:space="preserve">Birin Spinning Mills Limited</t>
  </si>
  <si>
    <t xml:space="preserve">342</t>
  </si>
  <si>
    <t xml:space="preserve">Biscon Tiles LLP</t>
  </si>
  <si>
    <t xml:space="preserve">27 Jun 2022</t>
  </si>
  <si>
    <t xml:space="preserve">343</t>
  </si>
  <si>
    <t xml:space="preserve">Bisman Industries Limited</t>
  </si>
  <si>
    <t xml:space="preserve">22 Nov 2018</t>
  </si>
  <si>
    <t xml:space="preserve">344</t>
  </si>
  <si>
    <t xml:space="preserve">Bisui Poultry Private Limited</t>
  </si>
  <si>
    <t xml:space="preserve">25 Jul 2017</t>
  </si>
  <si>
    <t xml:space="preserve">345</t>
  </si>
  <si>
    <t xml:space="preserve">BIUM Industries Private Limited</t>
  </si>
  <si>
    <t xml:space="preserve">10 Aug 2017</t>
  </si>
  <si>
    <t xml:space="preserve">346</t>
  </si>
  <si>
    <t xml:space="preserve">BLG Construction Service Pvt Ltd</t>
  </si>
  <si>
    <t xml:space="preserve">347</t>
  </si>
  <si>
    <t xml:space="preserve">Bliss Management Services Private Limited</t>
  </si>
  <si>
    <t xml:space="preserve">29 Aug 2022</t>
  </si>
  <si>
    <t xml:space="preserve">348</t>
  </si>
  <si>
    <t xml:space="preserve">BMS Projects</t>
  </si>
  <si>
    <t xml:space="preserve">04 Jul 2017</t>
  </si>
  <si>
    <t xml:space="preserve">349</t>
  </si>
  <si>
    <t xml:space="preserve">BNR Infrastructure Projects Private Limited</t>
  </si>
  <si>
    <t xml:space="preserve">29 Jan 2021</t>
  </si>
  <si>
    <t xml:space="preserve">350</t>
  </si>
  <si>
    <t xml:space="preserve">Bochem Healthcare Pvt. Ltd.</t>
  </si>
  <si>
    <t xml:space="preserve">351</t>
  </si>
  <si>
    <t xml:space="preserve">Boduppal Municipal Corporation</t>
  </si>
  <si>
    <t xml:space="preserve">352</t>
  </si>
  <si>
    <t xml:space="preserve">Boltmaster (India) Private Limited</t>
  </si>
  <si>
    <t xml:space="preserve">353</t>
  </si>
  <si>
    <t xml:space="preserve">Bommineni Ramanjaneyulu</t>
  </si>
  <si>
    <t xml:space="preserve">16 Sep 2019</t>
  </si>
  <si>
    <t xml:space="preserve">354</t>
  </si>
  <si>
    <t xml:space="preserve">Bonza Vitrified Pvt. Ltd.</t>
  </si>
  <si>
    <t xml:space="preserve">355</t>
  </si>
  <si>
    <t xml:space="preserve">Boss Cotton And Oil Industries</t>
  </si>
  <si>
    <t xml:space="preserve">356</t>
  </si>
  <si>
    <t xml:space="preserve">Botil Oil Tools India Private Limited</t>
  </si>
  <si>
    <t xml:space="preserve">01 Feb 2021</t>
  </si>
  <si>
    <t xml:space="preserve">357</t>
  </si>
  <si>
    <t xml:space="preserve">Brainer Infra Llp</t>
  </si>
  <si>
    <t xml:space="preserve">358</t>
  </si>
  <si>
    <t xml:space="preserve">Brajesh Packaging Private Limited</t>
  </si>
  <si>
    <t xml:space="preserve">359</t>
  </si>
  <si>
    <t xml:space="preserve">Brawn Laboratories Limited</t>
  </si>
  <si>
    <t xml:space="preserve">06 Nov 2024</t>
  </si>
  <si>
    <t xml:space="preserve">360</t>
  </si>
  <si>
    <t xml:space="preserve">Brightstar Infrastructure Private Limited</t>
  </si>
  <si>
    <t xml:space="preserve">12 Jan 2018</t>
  </si>
  <si>
    <t xml:space="preserve">361</t>
  </si>
  <si>
    <t xml:space="preserve">Brij Engineering Works</t>
  </si>
  <si>
    <t xml:space="preserve">362</t>
  </si>
  <si>
    <t xml:space="preserve">Brijbasi Art Press Limited</t>
  </si>
  <si>
    <t xml:space="preserve">16 Feb 2024</t>
  </si>
  <si>
    <t xml:space="preserve">363</t>
  </si>
  <si>
    <t xml:space="preserve">Brijnandan Industries Private Limited</t>
  </si>
  <si>
    <t xml:space="preserve">364</t>
  </si>
  <si>
    <t xml:space="preserve">Brisk Facilities (Sugar Division) Private Limited</t>
  </si>
  <si>
    <t xml:space="preserve">28 Aug 2019</t>
  </si>
  <si>
    <t xml:space="preserve">365</t>
  </si>
  <si>
    <t xml:space="preserve">Brisk India Private Limited</t>
  </si>
  <si>
    <t xml:space="preserve">12 Jun 2017</t>
  </si>
  <si>
    <t xml:space="preserve">366</t>
  </si>
  <si>
    <t xml:space="preserve">Broadway Links Private Limited</t>
  </si>
  <si>
    <t xml:space="preserve">367</t>
  </si>
  <si>
    <t xml:space="preserve">Bruhat Bengaluru Mahanagara Palike</t>
  </si>
  <si>
    <t xml:space="preserve">368</t>
  </si>
  <si>
    <t xml:space="preserve">Buddha Sortex Rice Industries Private Limited</t>
  </si>
  <si>
    <t xml:space="preserve">369</t>
  </si>
  <si>
    <t xml:space="preserve">Budding Brains International School (Bhagat Sucha Singh Ji Memorial Educational Society)</t>
  </si>
  <si>
    <t xml:space="preserve">10 Jul 2017</t>
  </si>
  <si>
    <t xml:space="preserve">370</t>
  </si>
  <si>
    <t xml:space="preserve">Buds Tea Industries Limited</t>
  </si>
  <si>
    <t xml:space="preserve">08 Sep 2017</t>
  </si>
  <si>
    <t xml:space="preserve">371</t>
  </si>
  <si>
    <t xml:space="preserve">Buildmet Private Limited</t>
  </si>
  <si>
    <t xml:space="preserve">29 Aug 2019</t>
  </si>
  <si>
    <t xml:space="preserve">372</t>
  </si>
  <si>
    <t xml:space="preserve">Bundela Exports</t>
  </si>
  <si>
    <t xml:space="preserve">28 May 2019</t>
  </si>
  <si>
    <t xml:space="preserve">373</t>
  </si>
  <si>
    <t xml:space="preserve">Burakia Steel &amp; Alloys</t>
  </si>
  <si>
    <t xml:space="preserve">374</t>
  </si>
  <si>
    <t xml:space="preserve">BVL Granites</t>
  </si>
  <si>
    <t xml:space="preserve">27 Feb 2024</t>
  </si>
  <si>
    <t xml:space="preserve">375</t>
  </si>
  <si>
    <t xml:space="preserve">Bvl Infrastructure Private Limited</t>
  </si>
  <si>
    <t xml:space="preserve">26 Feb 2019</t>
  </si>
  <si>
    <t xml:space="preserve">376</t>
  </si>
  <si>
    <t xml:space="preserve">Bydesign India Private Limited</t>
  </si>
  <si>
    <t xml:space="preserve">26 Sep 2019</t>
  </si>
  <si>
    <t xml:space="preserve">377</t>
  </si>
  <si>
    <t xml:space="preserve">C &amp; R Textiles (P) Ltd.</t>
  </si>
  <si>
    <t xml:space="preserve">23 Dec 2019</t>
  </si>
  <si>
    <t xml:space="preserve">378</t>
  </si>
  <si>
    <t xml:space="preserve">C Mahendra Infojewels Limited</t>
  </si>
  <si>
    <t xml:space="preserve">01 Aug 2017</t>
  </si>
  <si>
    <t xml:space="preserve">379</t>
  </si>
  <si>
    <t xml:space="preserve">C.G. Chandrappa</t>
  </si>
  <si>
    <t xml:space="preserve">03 Nov 2017</t>
  </si>
  <si>
    <t xml:space="preserve">380</t>
  </si>
  <si>
    <t xml:space="preserve">Cairo International</t>
  </si>
  <si>
    <t xml:space="preserve">381</t>
  </si>
  <si>
    <t xml:space="preserve">Call Express Construction India Private Limited</t>
  </si>
  <si>
    <t xml:space="preserve">28 Feb 2018</t>
  </si>
  <si>
    <t xml:space="preserve">382</t>
  </si>
  <si>
    <t xml:space="preserve">Camellia Infrastructures</t>
  </si>
  <si>
    <t xml:space="preserve">31 Jul 2020</t>
  </si>
  <si>
    <t xml:space="preserve">383</t>
  </si>
  <si>
    <t xml:space="preserve">Candeur Constructions Private Limited</t>
  </si>
  <si>
    <t xml:space="preserve">19 Nov 2024</t>
  </si>
  <si>
    <t xml:space="preserve">384</t>
  </si>
  <si>
    <t xml:space="preserve">Canter Engineers Private Limited</t>
  </si>
  <si>
    <t xml:space="preserve">28 May 2021</t>
  </si>
  <si>
    <t xml:space="preserve">385</t>
  </si>
  <si>
    <t xml:space="preserve">Capital Clothing Company</t>
  </si>
  <si>
    <t xml:space="preserve">386</t>
  </si>
  <si>
    <t xml:space="preserve">Capital Steel Corporation</t>
  </si>
  <si>
    <t xml:space="preserve">387</t>
  </si>
  <si>
    <t xml:space="preserve">Capstone Ceramic (India) Llp</t>
  </si>
  <si>
    <t xml:space="preserve">27 Mar 2020</t>
  </si>
  <si>
    <t xml:space="preserve">388</t>
  </si>
  <si>
    <t xml:space="preserve">Captab Biotec Unit - II</t>
  </si>
  <si>
    <t xml:space="preserve">389</t>
  </si>
  <si>
    <t xml:space="preserve">Carbon Edge Industries Limited</t>
  </si>
  <si>
    <t xml:space="preserve">03 Aug 2017</t>
  </si>
  <si>
    <t xml:space="preserve">390</t>
  </si>
  <si>
    <t xml:space="preserve">Carnival Soft Private Limited</t>
  </si>
  <si>
    <t xml:space="preserve">31 Oct 2022</t>
  </si>
  <si>
    <t xml:space="preserve">391</t>
  </si>
  <si>
    <t xml:space="preserve">Carona Knit Wear</t>
  </si>
  <si>
    <t xml:space="preserve">392</t>
  </si>
  <si>
    <t xml:space="preserve">Caspro Metal Industries Private Limited</t>
  </si>
  <si>
    <t xml:space="preserve">393</t>
  </si>
  <si>
    <t xml:space="preserve">Castall Technologies Private Limited</t>
  </si>
  <si>
    <t xml:space="preserve">394</t>
  </si>
  <si>
    <t xml:space="preserve">CDR Projects Private Limited</t>
  </si>
  <si>
    <t xml:space="preserve">395</t>
  </si>
  <si>
    <t xml:space="preserve">Celebi Delhi Cargo Terminal Management India Private Limited</t>
  </si>
  <si>
    <t xml:space="preserve">04 Apr 2025</t>
  </si>
  <si>
    <t xml:space="preserve">396</t>
  </si>
  <si>
    <t xml:space="preserve">Cenosphere India Pvt Ltd</t>
  </si>
  <si>
    <t xml:space="preserve">20 Dec 2018</t>
  </si>
  <si>
    <t xml:space="preserve">397</t>
  </si>
  <si>
    <t xml:space="preserve">Centric Steel Limited</t>
  </si>
  <si>
    <t xml:space="preserve">398</t>
  </si>
  <si>
    <t xml:space="preserve">Chadha Sugars &amp; Industries Limited</t>
  </si>
  <si>
    <t xml:space="preserve">399</t>
  </si>
  <si>
    <t xml:space="preserve">Chaitanya Chemicals</t>
  </si>
  <si>
    <t xml:space="preserve">30 Jan 2018</t>
  </si>
  <si>
    <t xml:space="preserve">400</t>
  </si>
  <si>
    <t xml:space="preserve">Chaitanya Enterprises</t>
  </si>
  <si>
    <t xml:space="preserve">24 Apr 2017</t>
  </si>
  <si>
    <t xml:space="preserve">401</t>
  </si>
  <si>
    <t xml:space="preserve">Chalapathi Educational Society</t>
  </si>
  <si>
    <t xml:space="preserve">402</t>
  </si>
  <si>
    <t xml:space="preserve">Champion Commercial Company Limited</t>
  </si>
  <si>
    <t xml:space="preserve">05 Feb 2024</t>
  </si>
  <si>
    <t xml:space="preserve">403</t>
  </si>
  <si>
    <t xml:space="preserve">Chandan Textiles</t>
  </si>
  <si>
    <t xml:space="preserve">404</t>
  </si>
  <si>
    <t xml:space="preserve">Chandan Trading Company Private Limited</t>
  </si>
  <si>
    <t xml:space="preserve">21 Aug 2017</t>
  </si>
  <si>
    <t xml:space="preserve">405</t>
  </si>
  <si>
    <t xml:space="preserve">Chanderpur Works Private Limited</t>
  </si>
  <si>
    <t xml:space="preserve">406</t>
  </si>
  <si>
    <t xml:space="preserve">Chanditala Blue Print</t>
  </si>
  <si>
    <t xml:space="preserve">407</t>
  </si>
  <si>
    <t xml:space="preserve">Chandralok Textile Industries Private Limited</t>
  </si>
  <si>
    <t xml:space="preserve">05 May 2017</t>
  </si>
  <si>
    <t xml:space="preserve">408</t>
  </si>
  <si>
    <t xml:space="preserve">Chandri Paper &amp; Allied Products Private limited</t>
  </si>
  <si>
    <t xml:space="preserve">409</t>
  </si>
  <si>
    <t xml:space="preserve">Chanvim Engineering (India) Private Limited</t>
  </si>
  <si>
    <t xml:space="preserve">410</t>
  </si>
  <si>
    <t xml:space="preserve">Charoen Pokphand Seeds India Private Limited</t>
  </si>
  <si>
    <t xml:space="preserve">411</t>
  </si>
  <si>
    <t xml:space="preserve">Chayagraphics Healthcare Private Limited</t>
  </si>
  <si>
    <t xml:space="preserve">412</t>
  </si>
  <si>
    <t xml:space="preserve">Cheema Spintex Limited</t>
  </si>
  <si>
    <t xml:space="preserve">06 Jan 2017</t>
  </si>
  <si>
    <t xml:space="preserve">413</t>
  </si>
  <si>
    <t xml:space="preserve">Chemiloids Life Sciences Pvt. Ltd.</t>
  </si>
  <si>
    <t xml:space="preserve">19 Jan 2024</t>
  </si>
  <si>
    <t xml:space="preserve">414</t>
  </si>
  <si>
    <t xml:space="preserve">Chemtrade Overseas Private Limited</t>
  </si>
  <si>
    <t xml:space="preserve">415</t>
  </si>
  <si>
    <t xml:space="preserve">Chennai Textiles</t>
  </si>
  <si>
    <t xml:space="preserve">26 Aug 2019</t>
  </si>
  <si>
    <t xml:space="preserve">416</t>
  </si>
  <si>
    <t xml:space="preserve">Chevrox Constructions Pvt. Ltd.</t>
  </si>
  <si>
    <t xml:space="preserve">31 Jan 2023</t>
  </si>
  <si>
    <t xml:space="preserve">417</t>
  </si>
  <si>
    <t xml:space="preserve">Chhapra Hajipur Expressways Limited</t>
  </si>
  <si>
    <t xml:space="preserve">05 Apr 2024</t>
  </si>
  <si>
    <t xml:space="preserve">418</t>
  </si>
  <si>
    <t xml:space="preserve">Chhatrapati Sambhaji Raje Sakhar Udyog Limited</t>
  </si>
  <si>
    <t xml:space="preserve">419</t>
  </si>
  <si>
    <t xml:space="preserve">Chheda Electricals And Electronics Pvt. Ltd.</t>
  </si>
  <si>
    <t xml:space="preserve">420</t>
  </si>
  <si>
    <t xml:space="preserve">Chidambaram Shipcare Private Limited</t>
  </si>
  <si>
    <t xml:space="preserve">28 Aug 2017</t>
  </si>
  <si>
    <t xml:space="preserve">421</t>
  </si>
  <si>
    <t xml:space="preserve">Chilakalurupet Municipality</t>
  </si>
  <si>
    <t xml:space="preserve">422</t>
  </si>
  <si>
    <t xml:space="preserve">Chintamani Gems &amp; Jewellery Private Limited</t>
  </si>
  <si>
    <t xml:space="preserve">10 Jan 2017</t>
  </si>
  <si>
    <t xml:space="preserve">423</t>
  </si>
  <si>
    <t xml:space="preserve">Chintamanis Jewellery Arcade Pvt. Ltd.</t>
  </si>
  <si>
    <t xml:space="preserve">424</t>
  </si>
  <si>
    <t xml:space="preserve">Chirag Agrofins Private Limited</t>
  </si>
  <si>
    <t xml:space="preserve">425</t>
  </si>
  <si>
    <t xml:space="preserve">Chirayu Charitable Foundation</t>
  </si>
  <si>
    <t xml:space="preserve">23 Jul 2018</t>
  </si>
  <si>
    <t xml:space="preserve">426</t>
  </si>
  <si>
    <t xml:space="preserve">Chorus Labs Limited</t>
  </si>
  <si>
    <t xml:space="preserve">427</t>
  </si>
  <si>
    <t xml:space="preserve">Chotta Shimla Projects Pvt. Ltd.</t>
  </si>
  <si>
    <t xml:space="preserve">17 Mar 2022</t>
  </si>
  <si>
    <t xml:space="preserve">428</t>
  </si>
  <si>
    <t xml:space="preserve">Choudhary Gum and Derivatives</t>
  </si>
  <si>
    <t xml:space="preserve">16 Aug 2019</t>
  </si>
  <si>
    <t xml:space="preserve">429</t>
  </si>
  <si>
    <t xml:space="preserve">CHVV Subba Rao</t>
  </si>
  <si>
    <t xml:space="preserve">430</t>
  </si>
  <si>
    <t xml:space="preserve">Cicb-Chemicon Pvt Ltd</t>
  </si>
  <si>
    <t xml:space="preserve">25 Oct 2022</t>
  </si>
  <si>
    <t xml:space="preserve">431</t>
  </si>
  <si>
    <t xml:space="preserve">Ciemme Jewels Limited</t>
  </si>
  <si>
    <t xml:space="preserve">432</t>
  </si>
  <si>
    <t xml:space="preserve">Cigora Exim Private Limited</t>
  </si>
  <si>
    <t xml:space="preserve">433</t>
  </si>
  <si>
    <t xml:space="preserve">Citizen Cars</t>
  </si>
  <si>
    <t xml:space="preserve">13 Mar 2018</t>
  </si>
  <si>
    <t xml:space="preserve">434</t>
  </si>
  <si>
    <t xml:space="preserve">Citrus Alpha Marine LLP</t>
  </si>
  <si>
    <t xml:space="preserve">435</t>
  </si>
  <si>
    <t xml:space="preserve">City Tiles Limited</t>
  </si>
  <si>
    <t xml:space="preserve">29 Jun 2018</t>
  </si>
  <si>
    <t xml:space="preserve">436</t>
  </si>
  <si>
    <t xml:space="preserve">Classic Corrugations Private Limited</t>
  </si>
  <si>
    <t xml:space="preserve">30 Jun 2017</t>
  </si>
  <si>
    <t xml:space="preserve">437</t>
  </si>
  <si>
    <t xml:space="preserve">Classic Cotton Private Limited</t>
  </si>
  <si>
    <t xml:space="preserve">438</t>
  </si>
  <si>
    <t xml:space="preserve">Classic Display Systems Pvt. Ltd.</t>
  </si>
  <si>
    <t xml:space="preserve">439</t>
  </si>
  <si>
    <t xml:space="preserve">Classic Enterprises Limited</t>
  </si>
  <si>
    <t xml:space="preserve">30 Oct 2018</t>
  </si>
  <si>
    <t xml:space="preserve">440</t>
  </si>
  <si>
    <t xml:space="preserve">Classic Microtech Private Limited</t>
  </si>
  <si>
    <t xml:space="preserve">441</t>
  </si>
  <si>
    <t xml:space="preserve">Claystone Granito Pvt. Ltd.</t>
  </si>
  <si>
    <t xml:space="preserve">442</t>
  </si>
  <si>
    <t xml:space="preserve">Clean Coal Enterprises Pvt. Ltd.</t>
  </si>
  <si>
    <t xml:space="preserve">443</t>
  </si>
  <si>
    <t xml:space="preserve">Cloudtail India Pvt Ltd</t>
  </si>
  <si>
    <t xml:space="preserve">12 Aug 2022</t>
  </si>
  <si>
    <t xml:space="preserve">444</t>
  </si>
  <si>
    <t xml:space="preserve">CMC Commutator Private Limited</t>
  </si>
  <si>
    <t xml:space="preserve">445</t>
  </si>
  <si>
    <t xml:space="preserve">Coastal Consolidated Structures Pvt. Ltd</t>
  </si>
  <si>
    <t xml:space="preserve">446</t>
  </si>
  <si>
    <t xml:space="preserve">Coastal Energen Private Limited</t>
  </si>
  <si>
    <t xml:space="preserve">16 Nov 2020</t>
  </si>
  <si>
    <t xml:space="preserve">447</t>
  </si>
  <si>
    <t xml:space="preserve">Coastal Energy Private Limited</t>
  </si>
  <si>
    <t xml:space="preserve">05 Sep 2017</t>
  </si>
  <si>
    <t xml:space="preserve">448</t>
  </si>
  <si>
    <t xml:space="preserve">Coatings And Coatings (India) Private Limited</t>
  </si>
  <si>
    <t xml:space="preserve">449</t>
  </si>
  <si>
    <t xml:space="preserve">Cochin Bridge Infrastructure Company Limited</t>
  </si>
  <si>
    <t xml:space="preserve">23 Jun 2017</t>
  </si>
  <si>
    <t xml:space="preserve">450</t>
  </si>
  <si>
    <t xml:space="preserve">Cochin Surfactants Private Limited</t>
  </si>
  <si>
    <t xml:space="preserve">451</t>
  </si>
  <si>
    <t xml:space="preserve">Coffee Day Enterprises Limited</t>
  </si>
  <si>
    <t xml:space="preserve">452</t>
  </si>
  <si>
    <t xml:space="preserve">Coirfoam India Private Limited</t>
  </si>
  <si>
    <t xml:space="preserve">07 Feb 2017</t>
  </si>
  <si>
    <t xml:space="preserve">453</t>
  </si>
  <si>
    <t xml:space="preserve">Colossus Trade Links Ltd.</t>
  </si>
  <si>
    <t xml:space="preserve">24 Sep 2019</t>
  </si>
  <si>
    <t xml:space="preserve">454</t>
  </si>
  <si>
    <t xml:space="preserve">Commercial Automobiles Private Limited</t>
  </si>
  <si>
    <t xml:space="preserve">17 Dec 2024</t>
  </si>
  <si>
    <t xml:space="preserve">455</t>
  </si>
  <si>
    <t xml:space="preserve">Consolidated Construction Consortium Limited</t>
  </si>
  <si>
    <t xml:space="preserve">29 Mar 2017</t>
  </si>
  <si>
    <t xml:space="preserve">456</t>
  </si>
  <si>
    <t xml:space="preserve">Cooch Behar Mission Hospital (P) Ltd.</t>
  </si>
  <si>
    <t xml:space="preserve">15 Jun 2020</t>
  </si>
  <si>
    <t xml:space="preserve">457</t>
  </si>
  <si>
    <t xml:space="preserve">Coochbehar Agro Tea Estates Pvt. Ltd.</t>
  </si>
  <si>
    <t xml:space="preserve">458</t>
  </si>
  <si>
    <t xml:space="preserve">Cooldeck Industries Private Limited</t>
  </si>
  <si>
    <t xml:space="preserve">29 Aug 2023</t>
  </si>
  <si>
    <t xml:space="preserve">459</t>
  </si>
  <si>
    <t xml:space="preserve">Cooper-Standard India Pvt. Ltd.</t>
  </si>
  <si>
    <t xml:space="preserve">24 May 2019</t>
  </si>
  <si>
    <t xml:space="preserve">460</t>
  </si>
  <si>
    <t xml:space="preserve">Cornerstone Property Investments Pvt. Ltd.</t>
  </si>
  <si>
    <t xml:space="preserve">15 Jan 2020</t>
  </si>
  <si>
    <t xml:space="preserve">461</t>
  </si>
  <si>
    <t xml:space="preserve">Corona Vitrified Private Limited</t>
  </si>
  <si>
    <t xml:space="preserve">462</t>
  </si>
  <si>
    <t xml:space="preserve">Cosmos Jewellers Private Limited</t>
  </si>
  <si>
    <t xml:space="preserve">463</t>
  </si>
  <si>
    <t xml:space="preserve">Country Club Hospitality and Holidays Limited (Formerly Country Club (India) Limited)</t>
  </si>
  <si>
    <t xml:space="preserve">14 Mar 2018</t>
  </si>
  <si>
    <t xml:space="preserve">464</t>
  </si>
  <si>
    <t xml:space="preserve">Creations Jewellery Manufacturing Private Limited</t>
  </si>
  <si>
    <t xml:space="preserve">15 Jul 2021</t>
  </si>
  <si>
    <t xml:space="preserve">465</t>
  </si>
  <si>
    <t xml:space="preserve">Creative Credit Co-operative Society Limited</t>
  </si>
  <si>
    <t xml:space="preserve">21 Feb 2022</t>
  </si>
  <si>
    <t xml:space="preserve">466</t>
  </si>
  <si>
    <t xml:space="preserve">Creative Tannery Limited</t>
  </si>
  <si>
    <t xml:space="preserve">20 Sep 2019</t>
  </si>
  <si>
    <t xml:space="preserve">467</t>
  </si>
  <si>
    <t xml:space="preserve">Crevita Granito Pvt. Ltd.</t>
  </si>
  <si>
    <t xml:space="preserve">25 Jul 2022</t>
  </si>
  <si>
    <t xml:space="preserve">468</t>
  </si>
  <si>
    <t xml:space="preserve">Crown Promoters and Developers</t>
  </si>
  <si>
    <t xml:space="preserve">05 Jan 2017</t>
  </si>
  <si>
    <t xml:space="preserve">469</t>
  </si>
  <si>
    <t xml:space="preserve">Crystal Ceramic Industries Limited</t>
  </si>
  <si>
    <t xml:space="preserve">470</t>
  </si>
  <si>
    <t xml:space="preserve">Cygnus Equipments and Rentals Private Limited</t>
  </si>
  <si>
    <t xml:space="preserve">471</t>
  </si>
  <si>
    <t xml:space="preserve">Cygnus Splendid Limited</t>
  </si>
  <si>
    <t xml:space="preserve">472</t>
  </si>
  <si>
    <t xml:space="preserve">D C Metals</t>
  </si>
  <si>
    <t xml:space="preserve">473</t>
  </si>
  <si>
    <t xml:space="preserve">D P Jain TOT Toll Roads Private Limited</t>
  </si>
  <si>
    <t xml:space="preserve">05 Aug 2024</t>
  </si>
  <si>
    <t xml:space="preserve">474</t>
  </si>
  <si>
    <t xml:space="preserve">D. S. Developers</t>
  </si>
  <si>
    <t xml:space="preserve">21 Apr 2017</t>
  </si>
  <si>
    <t xml:space="preserve">475</t>
  </si>
  <si>
    <t xml:space="preserve">D.B. Machine Tools Private Limited</t>
  </si>
  <si>
    <t xml:space="preserve">14 Aug 2017</t>
  </si>
  <si>
    <t xml:space="preserve">476</t>
  </si>
  <si>
    <t xml:space="preserve">D.D.R &amp; Co.</t>
  </si>
  <si>
    <t xml:space="preserve">477</t>
  </si>
  <si>
    <t xml:space="preserve">D.M Cotton Industries</t>
  </si>
  <si>
    <t xml:space="preserve">478</t>
  </si>
  <si>
    <t xml:space="preserve">D.R. Coats Ink &amp; Resins Private Limited</t>
  </si>
  <si>
    <t xml:space="preserve">479</t>
  </si>
  <si>
    <t xml:space="preserve">Daaj Hotels And Resorts Private Limited</t>
  </si>
  <si>
    <t xml:space="preserve">11 Jan 2017</t>
  </si>
  <si>
    <t xml:space="preserve">480</t>
  </si>
  <si>
    <t xml:space="preserve">Dada Ganpati Guar Products Pvt. Ltd.</t>
  </si>
  <si>
    <t xml:space="preserve">481</t>
  </si>
  <si>
    <t xml:space="preserve">Daftari Agro Private Limited</t>
  </si>
  <si>
    <t xml:space="preserve">482</t>
  </si>
  <si>
    <t xml:space="preserve">Dahyabhai B. Patel</t>
  </si>
  <si>
    <t xml:space="preserve">483</t>
  </si>
  <si>
    <t xml:space="preserve">Damodar Tradelinks Private Limited</t>
  </si>
  <si>
    <t xml:space="preserve">21 Feb 2023</t>
  </si>
  <si>
    <t xml:space="preserve">484</t>
  </si>
  <si>
    <t xml:space="preserve">Danish Leather Exports</t>
  </si>
  <si>
    <t xml:space="preserve">485</t>
  </si>
  <si>
    <t xml:space="preserve">Darjeeling Power Private Limited (erstwhile Darjeeling Power Limited)</t>
  </si>
  <si>
    <t xml:space="preserve">31 Aug 2017</t>
  </si>
  <si>
    <t xml:space="preserve">486</t>
  </si>
  <si>
    <t xml:space="preserve">Darpan Infrastructure Private Limited</t>
  </si>
  <si>
    <t xml:space="preserve">487</t>
  </si>
  <si>
    <t xml:space="preserve">Darwin Pharma Pvt.Ltd.</t>
  </si>
  <si>
    <t xml:space="preserve">21 Sep 2017</t>
  </si>
  <si>
    <t xml:space="preserve">488</t>
  </si>
  <si>
    <t xml:space="preserve">Dashmesh Agro Industries</t>
  </si>
  <si>
    <t xml:space="preserve">489</t>
  </si>
  <si>
    <t xml:space="preserve">Dashmesh Rice Mills</t>
  </si>
  <si>
    <t xml:space="preserve">13 Feb 2018</t>
  </si>
  <si>
    <t xml:space="preserve">490</t>
  </si>
  <si>
    <t xml:space="preserve">Datacom Products (India) Pvt. Ltd.</t>
  </si>
  <si>
    <t xml:space="preserve">27 Aug 2018</t>
  </si>
  <si>
    <t xml:space="preserve">491</t>
  </si>
  <si>
    <t xml:space="preserve">Dattar Ceramic Private Limited</t>
  </si>
  <si>
    <t xml:space="preserve">492</t>
  </si>
  <si>
    <t xml:space="preserve">Davariya Brothers Private Limited</t>
  </si>
  <si>
    <t xml:space="preserve">15 Sep 2022</t>
  </si>
  <si>
    <t xml:space="preserve">493</t>
  </si>
  <si>
    <t xml:space="preserve">Deccan Ispat Limited</t>
  </si>
  <si>
    <t xml:space="preserve">494</t>
  </si>
  <si>
    <t xml:space="preserve">Deco Equipments Private Limited</t>
  </si>
  <si>
    <t xml:space="preserve">495</t>
  </si>
  <si>
    <t xml:space="preserve">Decor Paper Mills Limited</t>
  </si>
  <si>
    <t xml:space="preserve">24 Aug 2018</t>
  </si>
  <si>
    <t xml:space="preserve">496</t>
  </si>
  <si>
    <t xml:space="preserve">Deekay Trexim India Private Limited</t>
  </si>
  <si>
    <t xml:space="preserve">23 Aug 2017</t>
  </si>
  <si>
    <t xml:space="preserve">497</t>
  </si>
  <si>
    <t xml:space="preserve">Deepa Developers</t>
  </si>
  <si>
    <t xml:space="preserve">13 Jul 2017</t>
  </si>
  <si>
    <t xml:space="preserve">498</t>
  </si>
  <si>
    <t xml:space="preserve">Deepak Builders</t>
  </si>
  <si>
    <t xml:space="preserve">499</t>
  </si>
  <si>
    <t xml:space="preserve">Deepthy Fenishers</t>
  </si>
  <si>
    <t xml:space="preserve">500</t>
  </si>
  <si>
    <t xml:space="preserve">Delhi Waste Management Limited</t>
  </si>
  <si>
    <t xml:space="preserve">501</t>
  </si>
  <si>
    <t xml:space="preserve">Delite Cables Pvt. Ltd.</t>
  </si>
  <si>
    <t xml:space="preserve">28 Mar 2018</t>
  </si>
  <si>
    <t xml:space="preserve">502</t>
  </si>
  <si>
    <t xml:space="preserve">Deorani Devi Memorial Trust</t>
  </si>
  <si>
    <t xml:space="preserve">503</t>
  </si>
  <si>
    <t xml:space="preserve">Desai Distributors</t>
  </si>
  <si>
    <t xml:space="preserve">02 Nov 2020</t>
  </si>
  <si>
    <t xml:space="preserve">504</t>
  </si>
  <si>
    <t xml:space="preserve">Desein Private Limited</t>
  </si>
  <si>
    <t xml:space="preserve">505</t>
  </si>
  <si>
    <t xml:space="preserve">Design Classics Exports Private Limited</t>
  </si>
  <si>
    <t xml:space="preserve">506</t>
  </si>
  <si>
    <t xml:space="preserve">Design Creation</t>
  </si>
  <si>
    <t xml:space="preserve">19 Jan 2018</t>
  </si>
  <si>
    <t xml:space="preserve">507</t>
  </si>
  <si>
    <t xml:space="preserve">Dev Bhoomi Frozen Food Products</t>
  </si>
  <si>
    <t xml:space="preserve">508</t>
  </si>
  <si>
    <t xml:space="preserve">Dev Cotton &amp; Oil Industries</t>
  </si>
  <si>
    <t xml:space="preserve">509</t>
  </si>
  <si>
    <t xml:space="preserve">Devanga Sangha</t>
  </si>
  <si>
    <t xml:space="preserve">510</t>
  </si>
  <si>
    <t xml:space="preserve">Devdeep Cotton Industries</t>
  </si>
  <si>
    <t xml:space="preserve">15 May 2018</t>
  </si>
  <si>
    <t xml:space="preserve">511</t>
  </si>
  <si>
    <t xml:space="preserve">Devi Iron &amp; Power Pvt. Ltd.</t>
  </si>
  <si>
    <t xml:space="preserve">512</t>
  </si>
  <si>
    <t xml:space="preserve">Dhanalakshmi Srinivasan Charitable and Educational Trust</t>
  </si>
  <si>
    <t xml:space="preserve">30 Sep 2021</t>
  </si>
  <si>
    <t xml:space="preserve">513</t>
  </si>
  <si>
    <t xml:space="preserve">Dhanalakshmi Srinivasan Hotels Private Limited</t>
  </si>
  <si>
    <t xml:space="preserve">27 Sep 2021</t>
  </si>
  <si>
    <t xml:space="preserve">514</t>
  </si>
  <si>
    <t xml:space="preserve">Dhandu Mariamman Steels</t>
  </si>
  <si>
    <t xml:space="preserve">515</t>
  </si>
  <si>
    <t xml:space="preserve">Dhansmruti Textiles Pvt Ltd</t>
  </si>
  <si>
    <t xml:space="preserve">516</t>
  </si>
  <si>
    <t xml:space="preserve">Dharamchand Paraschand Exports</t>
  </si>
  <si>
    <t xml:space="preserve">15 Jul 2019</t>
  </si>
  <si>
    <t xml:space="preserve">517</t>
  </si>
  <si>
    <t xml:space="preserve">Dhareshwar Cotton Private Limited</t>
  </si>
  <si>
    <t xml:space="preserve">518</t>
  </si>
  <si>
    <t xml:space="preserve">Dhiraj Foundation</t>
  </si>
  <si>
    <t xml:space="preserve">31 Jul 2018</t>
  </si>
  <si>
    <t xml:space="preserve">519</t>
  </si>
  <si>
    <t xml:space="preserve">Dhirendra Narayan Cold Storage Private Limited</t>
  </si>
  <si>
    <t xml:space="preserve">520</t>
  </si>
  <si>
    <t xml:space="preserve">DHS Hotels Private Limited</t>
  </si>
  <si>
    <t xml:space="preserve">12 Dec 2019</t>
  </si>
  <si>
    <t xml:space="preserve">521</t>
  </si>
  <si>
    <t xml:space="preserve">Dhuria Rice Mills</t>
  </si>
  <si>
    <t xml:space="preserve">07 Jul 2017</t>
  </si>
  <si>
    <t xml:space="preserve">522</t>
  </si>
  <si>
    <t xml:space="preserve">Diach Chemicals &amp; Pigments Pvt Ltd</t>
  </si>
  <si>
    <t xml:space="preserve">523</t>
  </si>
  <si>
    <t xml:space="preserve">Diligent Media Corporation Limited</t>
  </si>
  <si>
    <t xml:space="preserve">20 Apr 2020</t>
  </si>
  <si>
    <t xml:space="preserve">524</t>
  </si>
  <si>
    <t xml:space="preserve">Dindayal Jalan Textiles Ltd</t>
  </si>
  <si>
    <t xml:space="preserve">525</t>
  </si>
  <si>
    <t xml:space="preserve">Dinjoye Tea Estate Pvt. Ltd.</t>
  </si>
  <si>
    <t xml:space="preserve">526</t>
  </si>
  <si>
    <t xml:space="preserve">Dipanshu Promoter &amp; Builder Pvt. Ltd.</t>
  </si>
  <si>
    <t xml:space="preserve">527</t>
  </si>
  <si>
    <t xml:space="preserve">Discovery Laboratories Private Limited</t>
  </si>
  <si>
    <t xml:space="preserve">528</t>
  </si>
  <si>
    <t xml:space="preserve">Disha Communications Private Limited</t>
  </si>
  <si>
    <t xml:space="preserve">529</t>
  </si>
  <si>
    <t xml:space="preserve">Dishnet Wireless Limited</t>
  </si>
  <si>
    <t xml:space="preserve">530</t>
  </si>
  <si>
    <t xml:space="preserve">Divine Alloys &amp; Power Company Limited</t>
  </si>
  <si>
    <t xml:space="preserve">531</t>
  </si>
  <si>
    <t xml:space="preserve">Divine Solutions Private Limited</t>
  </si>
  <si>
    <t xml:space="preserve">532</t>
  </si>
  <si>
    <t xml:space="preserve">Divya Construction Company</t>
  </si>
  <si>
    <t xml:space="preserve">533</t>
  </si>
  <si>
    <t xml:space="preserve">Divya Cotton</t>
  </si>
  <si>
    <t xml:space="preserve">534</t>
  </si>
  <si>
    <t xml:space="preserve">Divyasree NSL Infrastructure Private Limited</t>
  </si>
  <si>
    <t xml:space="preserve">23 Aug 2022</t>
  </si>
  <si>
    <t xml:space="preserve">535</t>
  </si>
  <si>
    <t xml:space="preserve">DMD Developers Private Limited</t>
  </si>
  <si>
    <t xml:space="preserve">16 Jul 2024</t>
  </si>
  <si>
    <t xml:space="preserve">536</t>
  </si>
  <si>
    <t xml:space="preserve">DMK Particleboard LLP</t>
  </si>
  <si>
    <t xml:space="preserve">31 May 2021</t>
  </si>
  <si>
    <t xml:space="preserve">537</t>
  </si>
  <si>
    <t xml:space="preserve">DNP Foods Limited</t>
  </si>
  <si>
    <t xml:space="preserve">14 Dec 2017</t>
  </si>
  <si>
    <t xml:space="preserve">538</t>
  </si>
  <si>
    <t xml:space="preserve">Dollfine Developers</t>
  </si>
  <si>
    <t xml:space="preserve">05 Oct 2020</t>
  </si>
  <si>
    <t xml:space="preserve">539</t>
  </si>
  <si>
    <t xml:space="preserve">Dolly Exim Private Limited</t>
  </si>
  <si>
    <t xml:space="preserve">20 Aug 2024</t>
  </si>
  <si>
    <t xml:space="preserve">540</t>
  </si>
  <si>
    <t xml:space="preserve">Dolphin Foods India Limited</t>
  </si>
  <si>
    <t xml:space="preserve">16 Jan 2025</t>
  </si>
  <si>
    <t xml:space="preserve">541</t>
  </si>
  <si>
    <t xml:space="preserve">Dolphin Marine Foods &amp; Processors (India) Private Limited</t>
  </si>
  <si>
    <t xml:space="preserve">15 Jan 2021</t>
  </si>
  <si>
    <t xml:space="preserve">542</t>
  </si>
  <si>
    <t xml:space="preserve">Door Sanchar Hydro Power Private Limited</t>
  </si>
  <si>
    <t xml:space="preserve">543</t>
  </si>
  <si>
    <t xml:space="preserve">Doshi Ceramic Industries</t>
  </si>
  <si>
    <t xml:space="preserve">21 Sep 2018</t>
  </si>
  <si>
    <t xml:space="preserve">544</t>
  </si>
  <si>
    <t xml:space="preserve">DP Jain &amp; Co. Infrastructure Pvt Ltd</t>
  </si>
  <si>
    <t xml:space="preserve">31 Jul 2024</t>
  </si>
  <si>
    <t xml:space="preserve">545</t>
  </si>
  <si>
    <t xml:space="preserve">Dream Digital</t>
  </si>
  <si>
    <t xml:space="preserve">546</t>
  </si>
  <si>
    <t xml:space="preserve">Dream Home Carpets Private Limited</t>
  </si>
  <si>
    <t xml:space="preserve">21 Oct 2021</t>
  </si>
  <si>
    <t xml:space="preserve">547</t>
  </si>
  <si>
    <t xml:space="preserve">DS Toll Road Limited</t>
  </si>
  <si>
    <t xml:space="preserve">548</t>
  </si>
  <si>
    <t xml:space="preserve">DSG Corp Private Limited</t>
  </si>
  <si>
    <t xml:space="preserve">549</t>
  </si>
  <si>
    <t xml:space="preserve">DSL Infrastructure And Space Developers Pvt. Ltd.</t>
  </si>
  <si>
    <t xml:space="preserve">17 Feb 2017</t>
  </si>
  <si>
    <t xml:space="preserve">550</t>
  </si>
  <si>
    <t xml:space="preserve">Dugar Polymers Limited</t>
  </si>
  <si>
    <t xml:space="preserve">551</t>
  </si>
  <si>
    <t xml:space="preserve">Dulam Rocks Private Limited</t>
  </si>
  <si>
    <t xml:space="preserve">23 Oct 2017</t>
  </si>
  <si>
    <t xml:space="preserve">552</t>
  </si>
  <si>
    <t xml:space="preserve">Duratex Apparels</t>
  </si>
  <si>
    <t xml:space="preserve">30 Jul 2021</t>
  </si>
  <si>
    <t xml:space="preserve">553</t>
  </si>
  <si>
    <t xml:space="preserve">Duratex Exports</t>
  </si>
  <si>
    <t xml:space="preserve">554</t>
  </si>
  <si>
    <t xml:space="preserve">Duratex Silk Mills Private Limited</t>
  </si>
  <si>
    <t xml:space="preserve">555</t>
  </si>
  <si>
    <t xml:space="preserve">Dureza Granito Pvt. Ltd.</t>
  </si>
  <si>
    <t xml:space="preserve">556</t>
  </si>
  <si>
    <t xml:space="preserve">Durga Automotives Pvt Ltd</t>
  </si>
  <si>
    <t xml:space="preserve">557</t>
  </si>
  <si>
    <t xml:space="preserve">Durga Polysters Pvt. Ltd.</t>
  </si>
  <si>
    <t xml:space="preserve">558</t>
  </si>
  <si>
    <t xml:space="preserve">Duroflex Private Limited</t>
  </si>
  <si>
    <t xml:space="preserve">10 Dec 2024</t>
  </si>
  <si>
    <t xml:space="preserve">559</t>
  </si>
  <si>
    <t xml:space="preserve">Dusmer Tools Pvt. Ltd.</t>
  </si>
  <si>
    <t xml:space="preserve">560</t>
  </si>
  <si>
    <t xml:space="preserve">Dwarka Das Agarwal</t>
  </si>
  <si>
    <t xml:space="preserve">28 Aug 2018</t>
  </si>
  <si>
    <t xml:space="preserve">561</t>
  </si>
  <si>
    <t xml:space="preserve">Dwarkadhis Buildwell Private Limited</t>
  </si>
  <si>
    <t xml:space="preserve">08 Nov 2017</t>
  </si>
  <si>
    <t xml:space="preserve">562</t>
  </si>
  <si>
    <t xml:space="preserve">Dynamic Transmission Limited</t>
  </si>
  <si>
    <t xml:space="preserve">563</t>
  </si>
  <si>
    <t xml:space="preserve">Eagle Continental Foods Private Limited</t>
  </si>
  <si>
    <t xml:space="preserve">17 Nov 2020</t>
  </si>
  <si>
    <t xml:space="preserve">564</t>
  </si>
  <si>
    <t xml:space="preserve">Earthcon Developers Pvt. Ltd.</t>
  </si>
  <si>
    <t xml:space="preserve">23 Oct 2018</t>
  </si>
  <si>
    <t xml:space="preserve">565</t>
  </si>
  <si>
    <t xml:space="preserve">Eashwara Sai Cotton Industries</t>
  </si>
  <si>
    <t xml:space="preserve">566</t>
  </si>
  <si>
    <t xml:space="preserve">East Coast Energy Private Limited</t>
  </si>
  <si>
    <t xml:space="preserve">567</t>
  </si>
  <si>
    <t xml:space="preserve">East Coast Engineering Company</t>
  </si>
  <si>
    <t xml:space="preserve">21 May 2024</t>
  </si>
  <si>
    <t xml:space="preserve">568</t>
  </si>
  <si>
    <t xml:space="preserve">East End Technologies Private Limited</t>
  </si>
  <si>
    <t xml:space="preserve">569</t>
  </si>
  <si>
    <t xml:space="preserve">East Hyderabad Expressway Limited</t>
  </si>
  <si>
    <t xml:space="preserve">570</t>
  </si>
  <si>
    <t xml:space="preserve">Easternzone Industries Private Limited</t>
  </si>
  <si>
    <t xml:space="preserve">17 Aug 2023</t>
  </si>
  <si>
    <t xml:space="preserve">571</t>
  </si>
  <si>
    <t xml:space="preserve">Eastmade Spices &amp; Herbs Pvt. Ltd.</t>
  </si>
  <si>
    <t xml:space="preserve">17 Feb 2022</t>
  </si>
  <si>
    <t xml:space="preserve">572</t>
  </si>
  <si>
    <t xml:space="preserve">Eastman Mettcast Limited</t>
  </si>
  <si>
    <t xml:space="preserve">11 Aug 2017</t>
  </si>
  <si>
    <t xml:space="preserve">573</t>
  </si>
  <si>
    <t xml:space="preserve">Echjay Forgings Private Limited</t>
  </si>
  <si>
    <t xml:space="preserve">574</t>
  </si>
  <si>
    <t xml:space="preserve">Eco Chimneys Private Limited</t>
  </si>
  <si>
    <t xml:space="preserve">20 Dec 2022</t>
  </si>
  <si>
    <t xml:space="preserve">575</t>
  </si>
  <si>
    <t xml:space="preserve">Eid Mohammad Nizamuddin</t>
  </si>
  <si>
    <t xml:space="preserve">16 Mar 2020</t>
  </si>
  <si>
    <t xml:space="preserve">576</t>
  </si>
  <si>
    <t xml:space="preserve">Ekam Agro Private Limited</t>
  </si>
  <si>
    <t xml:space="preserve">577</t>
  </si>
  <si>
    <t xml:space="preserve">Ekta Electricals</t>
  </si>
  <si>
    <t xml:space="preserve">19 Dec 2018</t>
  </si>
  <si>
    <t xml:space="preserve">578</t>
  </si>
  <si>
    <t xml:space="preserve">Ekta Trust</t>
  </si>
  <si>
    <t xml:space="preserve">579</t>
  </si>
  <si>
    <t xml:space="preserve">Electro Polychem Limited</t>
  </si>
  <si>
    <t xml:space="preserve">580</t>
  </si>
  <si>
    <t xml:space="preserve">Elite Shelters</t>
  </si>
  <si>
    <t xml:space="preserve">30 Oct 2019</t>
  </si>
  <si>
    <t xml:space="preserve">581</t>
  </si>
  <si>
    <t xml:space="preserve">Elmot Alternators Private Limited</t>
  </si>
  <si>
    <t xml:space="preserve">582</t>
  </si>
  <si>
    <t xml:space="preserve">Eluru Municipal Corporation</t>
  </si>
  <si>
    <t xml:space="preserve">583</t>
  </si>
  <si>
    <t xml:space="preserve">Embee Ferro Alloy Pvt Ltd</t>
  </si>
  <si>
    <t xml:space="preserve">11 Jan 2018</t>
  </si>
  <si>
    <t xml:space="preserve">584</t>
  </si>
  <si>
    <t xml:space="preserve">Emerald Alchymicus Private Limited</t>
  </si>
  <si>
    <t xml:space="preserve">23 May 2017</t>
  </si>
  <si>
    <t xml:space="preserve">585</t>
  </si>
  <si>
    <t xml:space="preserve">Eminent Dealers Pvt. Ltd.</t>
  </si>
  <si>
    <t xml:space="preserve">28 Sep 2017</t>
  </si>
  <si>
    <t xml:space="preserve">586</t>
  </si>
  <si>
    <t xml:space="preserve">Emmennar Pharma Private Limited</t>
  </si>
  <si>
    <t xml:space="preserve">587</t>
  </si>
  <si>
    <t xml:space="preserve">Empee Sugars and Chemicals Limited</t>
  </si>
  <si>
    <t xml:space="preserve">588</t>
  </si>
  <si>
    <t xml:space="preserve">Encarta Pharma Private Limited</t>
  </si>
  <si>
    <t xml:space="preserve">589</t>
  </si>
  <si>
    <t xml:space="preserve">Energo Engineering Projects Limited</t>
  </si>
  <si>
    <t xml:space="preserve">590</t>
  </si>
  <si>
    <t xml:space="preserve">Eneroil Offshore Drilling Limited</t>
  </si>
  <si>
    <t xml:space="preserve">591</t>
  </si>
  <si>
    <t xml:space="preserve">Enertech Engineering Private Limited</t>
  </si>
  <si>
    <t xml:space="preserve">592</t>
  </si>
  <si>
    <t xml:space="preserve">Enterprising Enterprises</t>
  </si>
  <si>
    <t xml:space="preserve">593</t>
  </si>
  <si>
    <t xml:space="preserve">Enviro Green Alloys Inc.</t>
  </si>
  <si>
    <t xml:space="preserve">594</t>
  </si>
  <si>
    <t xml:space="preserve">Equiplus (India) Exports Private Limited</t>
  </si>
  <si>
    <t xml:space="preserve">15 Jun 2018</t>
  </si>
  <si>
    <t xml:space="preserve">595</t>
  </si>
  <si>
    <t xml:space="preserve">Equipment Fabricators</t>
  </si>
  <si>
    <t xml:space="preserve">596</t>
  </si>
  <si>
    <t xml:space="preserve">Erode District Co Operative Milk Producers Union Limited</t>
  </si>
  <si>
    <t xml:space="preserve">07 Oct 2022</t>
  </si>
  <si>
    <t xml:space="preserve">597</t>
  </si>
  <si>
    <t xml:space="preserve">Eros Minerock Products LLP</t>
  </si>
  <si>
    <t xml:space="preserve">598</t>
  </si>
  <si>
    <t xml:space="preserve">Esquire Machines Private Limited</t>
  </si>
  <si>
    <t xml:space="preserve">17 Nov 2021</t>
  </si>
  <si>
    <t xml:space="preserve">599</t>
  </si>
  <si>
    <t xml:space="preserve">Ethames Graduate School Private Limited</t>
  </si>
  <si>
    <t xml:space="preserve">600</t>
  </si>
  <si>
    <t xml:space="preserve">Ethics Polysack LLP</t>
  </si>
  <si>
    <t xml:space="preserve">601</t>
  </si>
  <si>
    <t xml:space="preserve">Euro Forge Private Limited</t>
  </si>
  <si>
    <t xml:space="preserve">602</t>
  </si>
  <si>
    <t xml:space="preserve">Euro Pratik Ispat Private Limited</t>
  </si>
  <si>
    <t xml:space="preserve">603</t>
  </si>
  <si>
    <t xml:space="preserve">Evan Multi Specialty Hospital and Research Centre Private Limited</t>
  </si>
  <si>
    <t xml:space="preserve">604</t>
  </si>
  <si>
    <t xml:space="preserve">Everest Sea Foods Exports Pvt Ltd</t>
  </si>
  <si>
    <t xml:space="preserve">12 Oct 2017</t>
  </si>
  <si>
    <t xml:space="preserve">605</t>
  </si>
  <si>
    <t xml:space="preserve">Everest Sea Foods Pvt Ltd</t>
  </si>
  <si>
    <t xml:space="preserve">606</t>
  </si>
  <si>
    <t xml:space="preserve">Evergreen Dooars Tea Pvt. Ltd.</t>
  </si>
  <si>
    <t xml:space="preserve">26 May 2017</t>
  </si>
  <si>
    <t xml:space="preserve">607</t>
  </si>
  <si>
    <t xml:space="preserve">Evergreen Veneers Private Limited</t>
  </si>
  <si>
    <t xml:space="preserve">31 Oct 2019</t>
  </si>
  <si>
    <t xml:space="preserve">608</t>
  </si>
  <si>
    <t xml:space="preserve">Everlast roofing</t>
  </si>
  <si>
    <t xml:space="preserve">31 Jan 2020</t>
  </si>
  <si>
    <t xml:space="preserve">609</t>
  </si>
  <si>
    <t xml:space="preserve">Evershine Solvex Private Limited</t>
  </si>
  <si>
    <t xml:space="preserve">610</t>
  </si>
  <si>
    <t xml:space="preserve">Excel Foods Private Limited</t>
  </si>
  <si>
    <t xml:space="preserve">611</t>
  </si>
  <si>
    <t xml:space="preserve">Exotic Granite LLP</t>
  </si>
  <si>
    <t xml:space="preserve">612</t>
  </si>
  <si>
    <t xml:space="preserve">Expert Educational and Charitable Foundation</t>
  </si>
  <si>
    <t xml:space="preserve">613</t>
  </si>
  <si>
    <t xml:space="preserve">F6 Capital and Finance Private Limited</t>
  </si>
  <si>
    <t xml:space="preserve">614</t>
  </si>
  <si>
    <t xml:space="preserve">Fairdeal Multifilament Private Limited</t>
  </si>
  <si>
    <t xml:space="preserve">17 May 2021</t>
  </si>
  <si>
    <t xml:space="preserve">615</t>
  </si>
  <si>
    <t xml:space="preserve">Fairyland Foundations Private Limited</t>
  </si>
  <si>
    <t xml:space="preserve">616</t>
  </si>
  <si>
    <t xml:space="preserve">Falcon Pumps Private Limited</t>
  </si>
  <si>
    <t xml:space="preserve">27 Jan 2025</t>
  </si>
  <si>
    <t xml:space="preserve">617</t>
  </si>
  <si>
    <t xml:space="preserve">Farmico Commodities Limited (erstwhile Wadhwani Commodities Trading Pvt. Ltd.)</t>
  </si>
  <si>
    <t xml:space="preserve">618</t>
  </si>
  <si>
    <t xml:space="preserve">Farooq Constructions</t>
  </si>
  <si>
    <t xml:space="preserve">619</t>
  </si>
  <si>
    <t xml:space="preserve">Fashion Flare International Private Limited</t>
  </si>
  <si>
    <t xml:space="preserve">620</t>
  </si>
  <si>
    <t xml:space="preserve">Fedora Sea Foods Private Limited</t>
  </si>
  <si>
    <t xml:space="preserve">621</t>
  </si>
  <si>
    <t xml:space="preserve">Ferromet Steels Private Limited</t>
  </si>
  <si>
    <t xml:space="preserve">18 Jan 2017</t>
  </si>
  <si>
    <t xml:space="preserve">622</t>
  </si>
  <si>
    <t xml:space="preserve">Fibril Tex Pvt. Ltd.</t>
  </si>
  <si>
    <t xml:space="preserve">18 Oct 2021</t>
  </si>
  <si>
    <t xml:space="preserve">623</t>
  </si>
  <si>
    <t xml:space="preserve">Fine Facets India Private Limited</t>
  </si>
  <si>
    <t xml:space="preserve">14 May 2018</t>
  </si>
  <si>
    <t xml:space="preserve">624</t>
  </si>
  <si>
    <t xml:space="preserve">Flender Drives Private Limited</t>
  </si>
  <si>
    <t xml:space="preserve">16 Mar 2023</t>
  </si>
  <si>
    <t xml:space="preserve">625</t>
  </si>
  <si>
    <t xml:space="preserve">Flexi Caps &amp; Polymers Private Limited</t>
  </si>
  <si>
    <t xml:space="preserve">626</t>
  </si>
  <si>
    <t xml:space="preserve">Flexituff Ventures International Limited</t>
  </si>
  <si>
    <t xml:space="preserve">17 Apr 2020</t>
  </si>
  <si>
    <t xml:space="preserve">627</t>
  </si>
  <si>
    <t xml:space="preserve">Flock Sur India Pvt. Ltd.</t>
  </si>
  <si>
    <t xml:space="preserve">628</t>
  </si>
  <si>
    <t xml:space="preserve">Flourish Paper and Chemicals Limited</t>
  </si>
  <si>
    <t xml:space="preserve">629</t>
  </si>
  <si>
    <t xml:space="preserve">Foods and Feeds</t>
  </si>
  <si>
    <t xml:space="preserve">630</t>
  </si>
  <si>
    <t xml:space="preserve">Forming India Private Limited</t>
  </si>
  <si>
    <t xml:space="preserve">631</t>
  </si>
  <si>
    <t xml:space="preserve">Fortis Healthcare Holdings Private Limited</t>
  </si>
  <si>
    <t xml:space="preserve">16 May 2018</t>
  </si>
  <si>
    <t xml:space="preserve">632</t>
  </si>
  <si>
    <t xml:space="preserve">Fortius Infradevelopers LLP</t>
  </si>
  <si>
    <t xml:space="preserve">01 Aug 2023</t>
  </si>
  <si>
    <t xml:space="preserve">633</t>
  </si>
  <si>
    <t xml:space="preserve">Fortune Bella Casa (Unit of Bardiya Construction Co. Pvt. Ltd.)</t>
  </si>
  <si>
    <t xml:space="preserve">13 Jan 2017</t>
  </si>
  <si>
    <t xml:space="preserve">634</t>
  </si>
  <si>
    <t xml:space="preserve">Fortune Foam Pvt. Ltd.</t>
  </si>
  <si>
    <t xml:space="preserve">29 Jul 2022</t>
  </si>
  <si>
    <t xml:space="preserve">635</t>
  </si>
  <si>
    <t xml:space="preserve">Fortune's Sparsh Healthcare Private Limited</t>
  </si>
  <si>
    <t xml:space="preserve">636</t>
  </si>
  <si>
    <t xml:space="preserve">Four Wheels Auto Private Limited</t>
  </si>
  <si>
    <t xml:space="preserve">637</t>
  </si>
  <si>
    <t xml:space="preserve">Franco Leome Shoes (P) Ltd.</t>
  </si>
  <si>
    <t xml:space="preserve">638</t>
  </si>
  <si>
    <t xml:space="preserve">Frank Lifecare Private Limited</t>
  </si>
  <si>
    <t xml:space="preserve">639</t>
  </si>
  <si>
    <t xml:space="preserve">French Motor Car Co. Ltd.</t>
  </si>
  <si>
    <t xml:space="preserve">640</t>
  </si>
  <si>
    <t xml:space="preserve">Friends Agro Industries</t>
  </si>
  <si>
    <t xml:space="preserve">30 Nov 2018</t>
  </si>
  <si>
    <t xml:space="preserve">641</t>
  </si>
  <si>
    <t xml:space="preserve">Frontline Builders</t>
  </si>
  <si>
    <t xml:space="preserve">29 Dec 2021</t>
  </si>
  <si>
    <t xml:space="preserve">642</t>
  </si>
  <si>
    <t xml:space="preserve">Fusion Jewellery Manufacturing Co. Pvt. Ltd.</t>
  </si>
  <si>
    <t xml:space="preserve">643</t>
  </si>
  <si>
    <t xml:space="preserve">Future Corporate Resources Private Limited</t>
  </si>
  <si>
    <t xml:space="preserve">29 Jun 2021</t>
  </si>
  <si>
    <t xml:space="preserve">644</t>
  </si>
  <si>
    <t xml:space="preserve">Future Education And Research Trust</t>
  </si>
  <si>
    <t xml:space="preserve">645</t>
  </si>
  <si>
    <t xml:space="preserve">Futuristic Diagnostic Imaging Centre Private Limited</t>
  </si>
  <si>
    <t xml:space="preserve">18 Nov 2022</t>
  </si>
  <si>
    <t xml:space="preserve">646</t>
  </si>
  <si>
    <t xml:space="preserve">G Khanna &amp; Co.</t>
  </si>
  <si>
    <t xml:space="preserve">11 Jan 2022</t>
  </si>
  <si>
    <t xml:space="preserve">647</t>
  </si>
  <si>
    <t xml:space="preserve">G N Altech</t>
  </si>
  <si>
    <t xml:space="preserve">648</t>
  </si>
  <si>
    <t xml:space="preserve">G Ramamoorthi Constructions India Private Limited</t>
  </si>
  <si>
    <t xml:space="preserve">649</t>
  </si>
  <si>
    <t xml:space="preserve">G. M. Exports</t>
  </si>
  <si>
    <t xml:space="preserve">06 Sep 2017</t>
  </si>
  <si>
    <t xml:space="preserve">650</t>
  </si>
  <si>
    <t xml:space="preserve">G. R. Weavers Private Ltd.</t>
  </si>
  <si>
    <t xml:space="preserve">651</t>
  </si>
  <si>
    <t xml:space="preserve">G.M. Fabrics Private Limited</t>
  </si>
  <si>
    <t xml:space="preserve">652</t>
  </si>
  <si>
    <t xml:space="preserve">G.M. Pens International Private Limited</t>
  </si>
  <si>
    <t xml:space="preserve">14 Jan 2020</t>
  </si>
  <si>
    <t xml:space="preserve">653</t>
  </si>
  <si>
    <t xml:space="preserve">G.M. Syntex Pvt. Ltd.</t>
  </si>
  <si>
    <t xml:space="preserve">25 Feb 2025</t>
  </si>
  <si>
    <t xml:space="preserve">654</t>
  </si>
  <si>
    <t xml:space="preserve">G.N. Bullion Private Limited</t>
  </si>
  <si>
    <t xml:space="preserve">655</t>
  </si>
  <si>
    <t xml:space="preserve">G3 Motors Limited (Erstwhile G3 Motors Pvt. Ltd.)</t>
  </si>
  <si>
    <t xml:space="preserve">656</t>
  </si>
  <si>
    <t xml:space="preserve">Gajanand Rice Mill</t>
  </si>
  <si>
    <t xml:space="preserve">657</t>
  </si>
  <si>
    <t xml:space="preserve">Gajavelli Spinning Mills Private Limited</t>
  </si>
  <si>
    <t xml:space="preserve">658</t>
  </si>
  <si>
    <t xml:space="preserve">Gallant Jewelry</t>
  </si>
  <si>
    <t xml:space="preserve">30 Jul 2019</t>
  </si>
  <si>
    <t xml:space="preserve">659</t>
  </si>
  <si>
    <t xml:space="preserve">Ganadhi Pati Construction Private Limited</t>
  </si>
  <si>
    <t xml:space="preserve">660</t>
  </si>
  <si>
    <t xml:space="preserve">Ganapathi Stone Crusher</t>
  </si>
  <si>
    <t xml:space="preserve">661</t>
  </si>
  <si>
    <t xml:space="preserve">Ganapati Fishing Lines Pvt Ltd</t>
  </si>
  <si>
    <t xml:space="preserve">662</t>
  </si>
  <si>
    <t xml:space="preserve">Ganapati Motors</t>
  </si>
  <si>
    <t xml:space="preserve">663</t>
  </si>
  <si>
    <t xml:space="preserve">Gandhi Enterprises</t>
  </si>
  <si>
    <t xml:space="preserve">664</t>
  </si>
  <si>
    <t xml:space="preserve">Ganesh Cars Private Limited</t>
  </si>
  <si>
    <t xml:space="preserve">665</t>
  </si>
  <si>
    <t xml:space="preserve">Ganga Dairy Limited</t>
  </si>
  <si>
    <t xml:space="preserve">666</t>
  </si>
  <si>
    <t xml:space="preserve">Ganga Diagnostic &amp; Medical Research Centre Pvt. Ltd.</t>
  </si>
  <si>
    <t xml:space="preserve">667</t>
  </si>
  <si>
    <t xml:space="preserve">Ganga Papers India Limited</t>
  </si>
  <si>
    <t xml:space="preserve">668</t>
  </si>
  <si>
    <t xml:space="preserve">Ganges Ford (Proprietor: Lexicon Commercial Enterprises Limited)</t>
  </si>
  <si>
    <t xml:space="preserve">669</t>
  </si>
  <si>
    <t xml:space="preserve">Ganta Sriram Educational Society</t>
  </si>
  <si>
    <t xml:space="preserve">22 Apr 2019</t>
  </si>
  <si>
    <t xml:space="preserve">670</t>
  </si>
  <si>
    <t xml:space="preserve">Garg Duplex And Paper Mills Private Limited</t>
  </si>
  <si>
    <t xml:space="preserve">21 Aug 2018</t>
  </si>
  <si>
    <t xml:space="preserve">671</t>
  </si>
  <si>
    <t xml:space="preserve">Garg Industries Limited</t>
  </si>
  <si>
    <t xml:space="preserve">672</t>
  </si>
  <si>
    <t xml:space="preserve">Gargo Traders, B.M. Garg &amp; Others (J.V.)</t>
  </si>
  <si>
    <t xml:space="preserve">673</t>
  </si>
  <si>
    <t xml:space="preserve">Gaurav Worldwide Trading Private Limited</t>
  </si>
  <si>
    <t xml:space="preserve">674</t>
  </si>
  <si>
    <t xml:space="preserve">Gaurishanker Bihani</t>
  </si>
  <si>
    <t xml:space="preserve">675</t>
  </si>
  <si>
    <t xml:space="preserve">Gav Agro Private Limited</t>
  </si>
  <si>
    <t xml:space="preserve">676</t>
  </si>
  <si>
    <t xml:space="preserve">Gayath Industries</t>
  </si>
  <si>
    <t xml:space="preserve">29 Oct 2020</t>
  </si>
  <si>
    <t xml:space="preserve">677</t>
  </si>
  <si>
    <t xml:space="preserve">Gayathri Sustainable Energies India Private Limited</t>
  </si>
  <si>
    <t xml:space="preserve">678</t>
  </si>
  <si>
    <t xml:space="preserve">Gayatri Developwell Pvt. Ltd.</t>
  </si>
  <si>
    <t xml:space="preserve">25 Apr 2017</t>
  </si>
  <si>
    <t xml:space="preserve">679</t>
  </si>
  <si>
    <t xml:space="preserve">Gayatri Iron &amp; Steels</t>
  </si>
  <si>
    <t xml:space="preserve">01 Sep 2017</t>
  </si>
  <si>
    <t xml:space="preserve">680</t>
  </si>
  <si>
    <t xml:space="preserve">GB Engineering Enterprises Private Limited</t>
  </si>
  <si>
    <t xml:space="preserve">681</t>
  </si>
  <si>
    <t xml:space="preserve">Geekay Steel Corporation</t>
  </si>
  <si>
    <t xml:space="preserve">682</t>
  </si>
  <si>
    <t xml:space="preserve">Geetanjali Agro Industries</t>
  </si>
  <si>
    <t xml:space="preserve">683</t>
  </si>
  <si>
    <t xml:space="preserve">Geetanjali Ispat &amp; Powers Pvt. Ltd.</t>
  </si>
  <si>
    <t xml:space="preserve">684</t>
  </si>
  <si>
    <t xml:space="preserve">Gem Batteries Private Limited</t>
  </si>
  <si>
    <t xml:space="preserve">29 Mar 2019</t>
  </si>
  <si>
    <t xml:space="preserve">685</t>
  </si>
  <si>
    <t xml:space="preserve">Gemini Developers</t>
  </si>
  <si>
    <t xml:space="preserve">30 May 2017</t>
  </si>
  <si>
    <t xml:space="preserve">686</t>
  </si>
  <si>
    <t xml:space="preserve">Genid Shipping and Logistics Private Limited</t>
  </si>
  <si>
    <t xml:space="preserve">23 Mar 2023</t>
  </si>
  <si>
    <t xml:space="preserve">687</t>
  </si>
  <si>
    <t xml:space="preserve">Ghai Construction Limited</t>
  </si>
  <si>
    <t xml:space="preserve">688</t>
  </si>
  <si>
    <t xml:space="preserve">Ghanshyamdas &amp; Company</t>
  </si>
  <si>
    <t xml:space="preserve">15 Dec 2021</t>
  </si>
  <si>
    <t xml:space="preserve">689</t>
  </si>
  <si>
    <t xml:space="preserve">Ghaziabad Mechfab Private Limited</t>
  </si>
  <si>
    <t xml:space="preserve">690</t>
  </si>
  <si>
    <t xml:space="preserve">Ghaziabad Organics Limited</t>
  </si>
  <si>
    <t xml:space="preserve">14 May 2024</t>
  </si>
  <si>
    <t xml:space="preserve">691</t>
  </si>
  <si>
    <t xml:space="preserve">Gillco Construction Private Limited</t>
  </si>
  <si>
    <t xml:space="preserve">692</t>
  </si>
  <si>
    <t xml:space="preserve">Gillco Developers &amp; Builders Private Limited</t>
  </si>
  <si>
    <t xml:space="preserve">23 Apr 2019</t>
  </si>
  <si>
    <t xml:space="preserve">693</t>
  </si>
  <si>
    <t xml:space="preserve">Ginni Gold Limited</t>
  </si>
  <si>
    <t xml:space="preserve">694</t>
  </si>
  <si>
    <t xml:space="preserve">Ginni Holdings</t>
  </si>
  <si>
    <t xml:space="preserve">695</t>
  </si>
  <si>
    <t xml:space="preserve">Girdhar Tents Private Limited</t>
  </si>
  <si>
    <t xml:space="preserve">07 Dec 2018</t>
  </si>
  <si>
    <t xml:space="preserve">696</t>
  </si>
  <si>
    <t xml:space="preserve">Girijashankar Cotton Private Limited</t>
  </si>
  <si>
    <t xml:space="preserve">30 Aug 2017</t>
  </si>
  <si>
    <t xml:space="preserve">697</t>
  </si>
  <si>
    <t xml:space="preserve">Giriraj Industries</t>
  </si>
  <si>
    <t xml:space="preserve">698</t>
  </si>
  <si>
    <t xml:space="preserve">Giriraj Jewellers Private Limited</t>
  </si>
  <si>
    <t xml:space="preserve">699</t>
  </si>
  <si>
    <t xml:space="preserve">Giriraj Timber Private Limited</t>
  </si>
  <si>
    <t xml:space="preserve">700</t>
  </si>
  <si>
    <t xml:space="preserve">Glazebrooke Trading Private Limited</t>
  </si>
  <si>
    <t xml:space="preserve">28 Oct 2021</t>
  </si>
  <si>
    <t xml:space="preserve">701</t>
  </si>
  <si>
    <t xml:space="preserve">Glitter Metals Private Limited</t>
  </si>
  <si>
    <t xml:space="preserve">26 Aug 2021</t>
  </si>
  <si>
    <t xml:space="preserve">702</t>
  </si>
  <si>
    <t xml:space="preserve">Global Buildcon</t>
  </si>
  <si>
    <t xml:space="preserve">22 Mar 2024</t>
  </si>
  <si>
    <t xml:space="preserve">703</t>
  </si>
  <si>
    <t xml:space="preserve">Global Dent Aids Pvt. Ltd.</t>
  </si>
  <si>
    <t xml:space="preserve">704</t>
  </si>
  <si>
    <t xml:space="preserve">Global Institute of Medical Science &amp; Health Care</t>
  </si>
  <si>
    <t xml:space="preserve">705</t>
  </si>
  <si>
    <t xml:space="preserve">Global International Imex Private Limited</t>
  </si>
  <si>
    <t xml:space="preserve">706</t>
  </si>
  <si>
    <t xml:space="preserve">Global Metal &amp; Energy Private Limited</t>
  </si>
  <si>
    <t xml:space="preserve">29 Jun 2017</t>
  </si>
  <si>
    <t xml:space="preserve">707</t>
  </si>
  <si>
    <t xml:space="preserve">Globe Civil Projects Private Limited</t>
  </si>
  <si>
    <t xml:space="preserve">708</t>
  </si>
  <si>
    <t xml:space="preserve">Globus Projects Private Limited</t>
  </si>
  <si>
    <t xml:space="preserve">709</t>
  </si>
  <si>
    <t xml:space="preserve">Gloria Engineering Company</t>
  </si>
  <si>
    <t xml:space="preserve">15 Feb 2023</t>
  </si>
  <si>
    <t xml:space="preserve">710</t>
  </si>
  <si>
    <t xml:space="preserve">GM Sugar &amp; Energy Limited</t>
  </si>
  <si>
    <t xml:space="preserve">20 Jan 2023</t>
  </si>
  <si>
    <t xml:space="preserve">711</t>
  </si>
  <si>
    <t xml:space="preserve">GNI Infrastructure Private Limited</t>
  </si>
  <si>
    <t xml:space="preserve">712</t>
  </si>
  <si>
    <t xml:space="preserve">Goa Ispat Private Limited (Formerly known as Goa Ispat Limited)</t>
  </si>
  <si>
    <t xml:space="preserve">26 Apr 2019</t>
  </si>
  <si>
    <t xml:space="preserve">713</t>
  </si>
  <si>
    <t xml:space="preserve">Godavari Polymers Private Limited</t>
  </si>
  <si>
    <t xml:space="preserve">714</t>
  </si>
  <si>
    <t xml:space="preserve">Goel Exim India Private Limited</t>
  </si>
  <si>
    <t xml:space="preserve">715</t>
  </si>
  <si>
    <t xml:space="preserve">Gokul Cotton Industries</t>
  </si>
  <si>
    <t xml:space="preserve">716</t>
  </si>
  <si>
    <t xml:space="preserve">Gold Star Steels (P) Ltd.</t>
  </si>
  <si>
    <t xml:space="preserve">22 Aug 2017</t>
  </si>
  <si>
    <t xml:space="preserve">717</t>
  </si>
  <si>
    <t xml:space="preserve">Golden Fibres Llp</t>
  </si>
  <si>
    <t xml:space="preserve">718</t>
  </si>
  <si>
    <t xml:space="preserve">Golden Seams Industries Private Limited</t>
  </si>
  <si>
    <t xml:space="preserve">719</t>
  </si>
  <si>
    <t xml:space="preserve">Golden Star Designer Private Limited</t>
  </si>
  <si>
    <t xml:space="preserve">30 Mar 2020</t>
  </si>
  <si>
    <t xml:space="preserve">720</t>
  </si>
  <si>
    <t xml:space="preserve">Golden Tobacco Limited</t>
  </si>
  <si>
    <t xml:space="preserve">721</t>
  </si>
  <si>
    <t xml:space="preserve">Goldstar Metal Solutions Private Limited</t>
  </si>
  <si>
    <t xml:space="preserve">14 Feb 2017</t>
  </si>
  <si>
    <t xml:space="preserve">722</t>
  </si>
  <si>
    <t xml:space="preserve">Golhar Ginning &amp; Oil Pvt. Ltd.</t>
  </si>
  <si>
    <t xml:space="preserve">723</t>
  </si>
  <si>
    <t xml:space="preserve">Gomatha Cotton Industries</t>
  </si>
  <si>
    <t xml:space="preserve">724</t>
  </si>
  <si>
    <t xml:space="preserve">Gonglu Agro Private Limited</t>
  </si>
  <si>
    <t xml:space="preserve">08 Apr 2021</t>
  </si>
  <si>
    <t xml:space="preserve">725</t>
  </si>
  <si>
    <t xml:space="preserve">Good Shepherd Educational Trust (Good Shepherd International School)</t>
  </si>
  <si>
    <t xml:space="preserve">21 Sep 2023</t>
  </si>
  <si>
    <t xml:space="preserve">726</t>
  </si>
  <si>
    <t xml:space="preserve">Goodluck Carbon Private Limited</t>
  </si>
  <si>
    <t xml:space="preserve">03 Jan 2018</t>
  </si>
  <si>
    <t xml:space="preserve">727</t>
  </si>
  <si>
    <t xml:space="preserve">Goodwill Advance Construction Company Pvt. Ltd.</t>
  </si>
  <si>
    <t xml:space="preserve">13 Mar 2023</t>
  </si>
  <si>
    <t xml:space="preserve">728</t>
  </si>
  <si>
    <t xml:space="preserve">Goodwill Fabrics Private Limited</t>
  </si>
  <si>
    <t xml:space="preserve">729</t>
  </si>
  <si>
    <t xml:space="preserve">Gopal Oil Industries</t>
  </si>
  <si>
    <t xml:space="preserve">730</t>
  </si>
  <si>
    <t xml:space="preserve">Gopinath Dairy Products Private Limited</t>
  </si>
  <si>
    <t xml:space="preserve">28 Jun 2018</t>
  </si>
  <si>
    <t xml:space="preserve">731</t>
  </si>
  <si>
    <t xml:space="preserve">Gouttephone Technology Private Limited</t>
  </si>
  <si>
    <t xml:space="preserve">732</t>
  </si>
  <si>
    <t xml:space="preserve">Govardhan Ispat (India) Pvt Ltd</t>
  </si>
  <si>
    <t xml:space="preserve">20 Jun 2017</t>
  </si>
  <si>
    <t xml:space="preserve">733</t>
  </si>
  <si>
    <t xml:space="preserve">Goverdhan Transport Company Private Limited</t>
  </si>
  <si>
    <t xml:space="preserve">734</t>
  </si>
  <si>
    <t xml:space="preserve">Goverdhan Verma Punjab Jewellers Private Limited</t>
  </si>
  <si>
    <t xml:space="preserve">20 Jul 2017</t>
  </si>
  <si>
    <t xml:space="preserve">735</t>
  </si>
  <si>
    <t xml:space="preserve">Govind Cable Industries</t>
  </si>
  <si>
    <t xml:space="preserve">736</t>
  </si>
  <si>
    <t xml:space="preserve">Govindbhawan -Karyalaya</t>
  </si>
  <si>
    <t xml:space="preserve">737</t>
  </si>
  <si>
    <t xml:space="preserve">Goyal Automobiles</t>
  </si>
  <si>
    <t xml:space="preserve">738</t>
  </si>
  <si>
    <t xml:space="preserve">Goyal Motocorp Private Limited</t>
  </si>
  <si>
    <t xml:space="preserve">739</t>
  </si>
  <si>
    <t xml:space="preserve">GR CONSTRUCTIONS</t>
  </si>
  <si>
    <t xml:space="preserve">27 May 2020</t>
  </si>
  <si>
    <t xml:space="preserve">740</t>
  </si>
  <si>
    <t xml:space="preserve">Graduate Agro And Mechanical Engineers</t>
  </si>
  <si>
    <t xml:space="preserve">741</t>
  </si>
  <si>
    <t xml:space="preserve">Great Value Fuels Private Limited</t>
  </si>
  <si>
    <t xml:space="preserve">27 Feb 2017</t>
  </si>
  <si>
    <t xml:space="preserve">742</t>
  </si>
  <si>
    <t xml:space="preserve">Green Farm Agri Exports</t>
  </si>
  <si>
    <t xml:space="preserve">743</t>
  </si>
  <si>
    <t xml:space="preserve">Green Petro Fuels LLP</t>
  </si>
  <si>
    <t xml:space="preserve">744</t>
  </si>
  <si>
    <t xml:space="preserve">Green Polytubes Pvt Ltd</t>
  </si>
  <si>
    <t xml:space="preserve">745</t>
  </si>
  <si>
    <t xml:space="preserve">Greenearth Infraventures Pvt Ltd</t>
  </si>
  <si>
    <t xml:space="preserve">746</t>
  </si>
  <si>
    <t xml:space="preserve">Greenland Motors</t>
  </si>
  <si>
    <t xml:space="preserve">747</t>
  </si>
  <si>
    <t xml:space="preserve">Greenlands (A&amp;M) Corporation</t>
  </si>
  <si>
    <t xml:space="preserve">748</t>
  </si>
  <si>
    <t xml:space="preserve">Greentech Mega Food Park Private Limited</t>
  </si>
  <si>
    <t xml:space="preserve">09 Jan 2018</t>
  </si>
  <si>
    <t xml:space="preserve">749</t>
  </si>
  <si>
    <t xml:space="preserve">Greenworth Infrastructures Private Limited</t>
  </si>
  <si>
    <t xml:space="preserve">28 Jul 2017</t>
  </si>
  <si>
    <t xml:space="preserve">750</t>
  </si>
  <si>
    <t xml:space="preserve">Gress Ceramica Private Limited</t>
  </si>
  <si>
    <t xml:space="preserve">31 Aug 2018</t>
  </si>
  <si>
    <t xml:space="preserve">751</t>
  </si>
  <si>
    <t xml:space="preserve">Greyforce Industries Limited (formerly known as Ganpati Advisory Limited)</t>
  </si>
  <si>
    <t xml:space="preserve">16 Jan 2019</t>
  </si>
  <si>
    <t xml:space="preserve">752</t>
  </si>
  <si>
    <t xml:space="preserve">Gripwell Forging &amp; Tools</t>
  </si>
  <si>
    <t xml:space="preserve">753</t>
  </si>
  <si>
    <t xml:space="preserve">Grotech Landscape Developers Private Limited</t>
  </si>
  <si>
    <t xml:space="preserve">754</t>
  </si>
  <si>
    <t xml:space="preserve">Grow Well Mercantile Private Limited</t>
  </si>
  <si>
    <t xml:space="preserve">02 Sep 2020</t>
  </si>
  <si>
    <t xml:space="preserve">755</t>
  </si>
  <si>
    <t xml:space="preserve">Growmore International Limited</t>
  </si>
  <si>
    <t xml:space="preserve">756</t>
  </si>
  <si>
    <t xml:space="preserve">Gruham Exotica</t>
  </si>
  <si>
    <t xml:space="preserve">757</t>
  </si>
  <si>
    <t xml:space="preserve">GS Malls Private Limited</t>
  </si>
  <si>
    <t xml:space="preserve">758</t>
  </si>
  <si>
    <t xml:space="preserve">GSJ Envo Limited</t>
  </si>
  <si>
    <t xml:space="preserve">759</t>
  </si>
  <si>
    <t xml:space="preserve">GSR Movies</t>
  </si>
  <si>
    <t xml:space="preserve">760</t>
  </si>
  <si>
    <t xml:space="preserve">GSR Textiles Private Limited</t>
  </si>
  <si>
    <t xml:space="preserve">761</t>
  </si>
  <si>
    <t xml:space="preserve">Gudivada Municipality</t>
  </si>
  <si>
    <t xml:space="preserve">762</t>
  </si>
  <si>
    <t xml:space="preserve">Gujarat Cotfib</t>
  </si>
  <si>
    <t xml:space="preserve">31 Dec 2018</t>
  </si>
  <si>
    <t xml:space="preserve">763</t>
  </si>
  <si>
    <t xml:space="preserve">Gupta Marriage Halls Private Limited</t>
  </si>
  <si>
    <t xml:space="preserve">764</t>
  </si>
  <si>
    <t xml:space="preserve">Gupta Solvent Private Limited</t>
  </si>
  <si>
    <t xml:space="preserve">06 Sep 2023</t>
  </si>
  <si>
    <t xml:space="preserve">765</t>
  </si>
  <si>
    <t xml:space="preserve">Gurpreet Galvanizing Private Limited</t>
  </si>
  <si>
    <t xml:space="preserve">13 Jan 2023</t>
  </si>
  <si>
    <t xml:space="preserve">766</t>
  </si>
  <si>
    <t xml:space="preserve">Guru Kirana Motors</t>
  </si>
  <si>
    <t xml:space="preserve">767</t>
  </si>
  <si>
    <t xml:space="preserve">Gurukrupa Corporation</t>
  </si>
  <si>
    <t xml:space="preserve">768</t>
  </si>
  <si>
    <t xml:space="preserve">Gurukrupa Cotton &amp; Oil Industries</t>
  </si>
  <si>
    <t xml:space="preserve">16 Sep 2020</t>
  </si>
  <si>
    <t xml:space="preserve">769</t>
  </si>
  <si>
    <t xml:space="preserve">Gurukrupa Metals</t>
  </si>
  <si>
    <t xml:space="preserve">26 Jul 2018</t>
  </si>
  <si>
    <t xml:space="preserve">770</t>
  </si>
  <si>
    <t xml:space="preserve">Guruvayoor Infrastructure Private Limited</t>
  </si>
  <si>
    <t xml:space="preserve">31 Jan 2025</t>
  </si>
  <si>
    <t xml:space="preserve">771</t>
  </si>
  <si>
    <t xml:space="preserve">GVK Jaipur Expressway Private Limited</t>
  </si>
  <si>
    <t xml:space="preserve">772</t>
  </si>
  <si>
    <t xml:space="preserve">H D Enterprises</t>
  </si>
  <si>
    <t xml:space="preserve">12 Oct 2021</t>
  </si>
  <si>
    <t xml:space="preserve">773</t>
  </si>
  <si>
    <t xml:space="preserve">H N Construction Private Limited</t>
  </si>
  <si>
    <t xml:space="preserve">26 Dec 2017</t>
  </si>
  <si>
    <t xml:space="preserve">774</t>
  </si>
  <si>
    <t xml:space="preserve">H R Builders</t>
  </si>
  <si>
    <t xml:space="preserve">775</t>
  </si>
  <si>
    <t xml:space="preserve">H.K. Agro Impex</t>
  </si>
  <si>
    <t xml:space="preserve">776</t>
  </si>
  <si>
    <t xml:space="preserve">H.M. Industrial Private Limited</t>
  </si>
  <si>
    <t xml:space="preserve">777</t>
  </si>
  <si>
    <t xml:space="preserve">H.R. Educational Foundation Trust</t>
  </si>
  <si>
    <t xml:space="preserve">18 Feb 2021</t>
  </si>
  <si>
    <t xml:space="preserve">778</t>
  </si>
  <si>
    <t xml:space="preserve">H.S. Sandhu Builders Pvt. Ltd.</t>
  </si>
  <si>
    <t xml:space="preserve">17 Jun 2022</t>
  </si>
  <si>
    <t xml:space="preserve">779</t>
  </si>
  <si>
    <t xml:space="preserve">H.S.Weavers Pvt. Ltd.</t>
  </si>
  <si>
    <t xml:space="preserve">780</t>
  </si>
  <si>
    <t xml:space="preserve">Habib Textiles Pvt. Ltd.</t>
  </si>
  <si>
    <t xml:space="preserve">26 Dec 2018</t>
  </si>
  <si>
    <t xml:space="preserve">781</t>
  </si>
  <si>
    <t xml:space="preserve">Hamsa Minerals &amp; Exports LLP</t>
  </si>
  <si>
    <t xml:space="preserve">22 Nov 2017</t>
  </si>
  <si>
    <t xml:space="preserve">782</t>
  </si>
  <si>
    <t xml:space="preserve">Handloom Bhandar</t>
  </si>
  <si>
    <t xml:space="preserve">783</t>
  </si>
  <si>
    <t xml:space="preserve">Hanief Motors</t>
  </si>
  <si>
    <t xml:space="preserve">784</t>
  </si>
  <si>
    <t xml:space="preserve">Hanuman Agro Products</t>
  </si>
  <si>
    <t xml:space="preserve">785</t>
  </si>
  <si>
    <t xml:space="preserve">Hanuman Foods</t>
  </si>
  <si>
    <t xml:space="preserve">786</t>
  </si>
  <si>
    <t xml:space="preserve">Hanuman Rice Mills</t>
  </si>
  <si>
    <t xml:space="preserve">787</t>
  </si>
  <si>
    <t xml:space="preserve">Haran Chandra Cold Storage Pvt Ltd</t>
  </si>
  <si>
    <t xml:space="preserve">788</t>
  </si>
  <si>
    <t xml:space="preserve">Haranai Sahakari Soot Girni Ltd.</t>
  </si>
  <si>
    <t xml:space="preserve">789</t>
  </si>
  <si>
    <t xml:space="preserve">Hardev Construction Private Limited</t>
  </si>
  <si>
    <t xml:space="preserve">24 Jun 2024</t>
  </si>
  <si>
    <t xml:space="preserve">790</t>
  </si>
  <si>
    <t xml:space="preserve">Hardik Textiles Pvt Ltd</t>
  </si>
  <si>
    <t xml:space="preserve">791</t>
  </si>
  <si>
    <t xml:space="preserve">Harekrushna Cottex</t>
  </si>
  <si>
    <t xml:space="preserve">792</t>
  </si>
  <si>
    <t xml:space="preserve">Hari Kripa Business Ventures Private Limited</t>
  </si>
  <si>
    <t xml:space="preserve">793</t>
  </si>
  <si>
    <t xml:space="preserve">Hariom Ingots &amp; Power Pvt. Ltd.</t>
  </si>
  <si>
    <t xml:space="preserve">794</t>
  </si>
  <si>
    <t xml:space="preserve">Haritha Fertilisers Limited</t>
  </si>
  <si>
    <t xml:space="preserve">795</t>
  </si>
  <si>
    <t xml:space="preserve">Harman Agro</t>
  </si>
  <si>
    <t xml:space="preserve">796</t>
  </si>
  <si>
    <t xml:space="preserve">Harmony Foods Private Limited</t>
  </si>
  <si>
    <t xml:space="preserve">797</t>
  </si>
  <si>
    <t xml:space="preserve">Harpreet Color Vision (P) Limited</t>
  </si>
  <si>
    <t xml:space="preserve">01 Dec 2022</t>
  </si>
  <si>
    <t xml:space="preserve">798</t>
  </si>
  <si>
    <t xml:space="preserve">Harpyari Devi Welfare Society</t>
  </si>
  <si>
    <t xml:space="preserve">799</t>
  </si>
  <si>
    <t xml:space="preserve">Harsh Constructions Pvt. Ltd.</t>
  </si>
  <si>
    <t xml:space="preserve">31 Mar 2023</t>
  </si>
  <si>
    <t xml:space="preserve">800</t>
  </si>
  <si>
    <t xml:space="preserve">Harshita Polypack</t>
  </si>
  <si>
    <t xml:space="preserve">801</t>
  </si>
  <si>
    <t xml:space="preserve">Hasimara Industries Limited</t>
  </si>
  <si>
    <t xml:space="preserve">15 Sep 2023</t>
  </si>
  <si>
    <t xml:space="preserve">802</t>
  </si>
  <si>
    <t xml:space="preserve">Hbs Realtors Private Limited</t>
  </si>
  <si>
    <t xml:space="preserve">803</t>
  </si>
  <si>
    <t xml:space="preserve">Hem Ceramics</t>
  </si>
  <si>
    <t xml:space="preserve">804</t>
  </si>
  <si>
    <t xml:space="preserve">Hemang Resources Limited</t>
  </si>
  <si>
    <t xml:space="preserve">805</t>
  </si>
  <si>
    <t xml:space="preserve">Hemant Surgical Industries Limited</t>
  </si>
  <si>
    <t xml:space="preserve">18 Aug 2023</t>
  </si>
  <si>
    <t xml:space="preserve">806</t>
  </si>
  <si>
    <t xml:space="preserve">Hero Mindmine Institute Private Limited</t>
  </si>
  <si>
    <t xml:space="preserve">28 Nov 2023</t>
  </si>
  <si>
    <t xml:space="preserve">807</t>
  </si>
  <si>
    <t xml:space="preserve">Heurtey Petrochem India Private Limited</t>
  </si>
  <si>
    <t xml:space="preserve">809</t>
  </si>
  <si>
    <t xml:space="preserve">High Tech Fablon Private Limited</t>
  </si>
  <si>
    <t xml:space="preserve">810</t>
  </si>
  <si>
    <t xml:space="preserve">High Tech Filatex Private Limited</t>
  </si>
  <si>
    <t xml:space="preserve">811</t>
  </si>
  <si>
    <t xml:space="preserve">High Tech Garments Private Limited</t>
  </si>
  <si>
    <t xml:space="preserve">812</t>
  </si>
  <si>
    <t xml:space="preserve">High Tech Knitwear Private Limited</t>
  </si>
  <si>
    <t xml:space="preserve">813</t>
  </si>
  <si>
    <t xml:space="preserve">High Tech Texolene Limited</t>
  </si>
  <si>
    <t xml:space="preserve">814</t>
  </si>
  <si>
    <t xml:space="preserve">High Tech Weaves (India) Private Limited</t>
  </si>
  <si>
    <t xml:space="preserve">815</t>
  </si>
  <si>
    <t xml:space="preserve">Highco Engineers Private Limited</t>
  </si>
  <si>
    <t xml:space="preserve">816</t>
  </si>
  <si>
    <t xml:space="preserve">Highway Engineering Consultants</t>
  </si>
  <si>
    <t xml:space="preserve">20 Mar 2025</t>
  </si>
  <si>
    <t xml:space="preserve">817</t>
  </si>
  <si>
    <t xml:space="preserve">Hill Stone Ceramic Private Limited</t>
  </si>
  <si>
    <t xml:space="preserve">19 Mar 2018</t>
  </si>
  <si>
    <t xml:space="preserve">818</t>
  </si>
  <si>
    <t xml:space="preserve">Hilltop Ceramic</t>
  </si>
  <si>
    <t xml:space="preserve">819</t>
  </si>
  <si>
    <t xml:space="preserve">Hilltop Hirise Private Limited</t>
  </si>
  <si>
    <t xml:space="preserve">27 Aug 2019</t>
  </si>
  <si>
    <t xml:space="preserve">820</t>
  </si>
  <si>
    <t xml:space="preserve">Himalaya Communications Limited</t>
  </si>
  <si>
    <t xml:space="preserve">821</t>
  </si>
  <si>
    <t xml:space="preserve">Himalaya Food International Ltd.</t>
  </si>
  <si>
    <t xml:space="preserve">822</t>
  </si>
  <si>
    <t xml:space="preserve">Himangi Foods Private Limited</t>
  </si>
  <si>
    <t xml:space="preserve">823</t>
  </si>
  <si>
    <t xml:space="preserve">Hindustan Fibre Glass Works</t>
  </si>
  <si>
    <t xml:space="preserve">824</t>
  </si>
  <si>
    <t xml:space="preserve">Hindustan Flour Mills</t>
  </si>
  <si>
    <t xml:space="preserve">825</t>
  </si>
  <si>
    <t xml:space="preserve">Hindustan Hydraulics Private Limited</t>
  </si>
  <si>
    <t xml:space="preserve">826</t>
  </si>
  <si>
    <t xml:space="preserve">Hindustan Mint And Agro Products Private Limited</t>
  </si>
  <si>
    <t xml:space="preserve">02 Aug 2018</t>
  </si>
  <si>
    <t xml:space="preserve">827</t>
  </si>
  <si>
    <t xml:space="preserve">Hindusthan Calcined Metals Private Limited</t>
  </si>
  <si>
    <t xml:space="preserve">18 May 2017</t>
  </si>
  <si>
    <t xml:space="preserve">828</t>
  </si>
  <si>
    <t xml:space="preserve">Hindusthan Malleables &amp; Forgings Ltd.</t>
  </si>
  <si>
    <t xml:space="preserve">829</t>
  </si>
  <si>
    <t xml:space="preserve">Hindva Builders</t>
  </si>
  <si>
    <t xml:space="preserve">31 Mar 2022</t>
  </si>
  <si>
    <t xml:space="preserve">830</t>
  </si>
  <si>
    <t xml:space="preserve">Hira Cotton Fibers</t>
  </si>
  <si>
    <t xml:space="preserve">831</t>
  </si>
  <si>
    <t xml:space="preserve">Hiraman Developers Private Limited</t>
  </si>
  <si>
    <t xml:space="preserve">13 Jun 2017</t>
  </si>
  <si>
    <t xml:space="preserve">832</t>
  </si>
  <si>
    <t xml:space="preserve">Hiranya Builders Private Limited</t>
  </si>
  <si>
    <t xml:space="preserve">833</t>
  </si>
  <si>
    <t xml:space="preserve">HiTech Cellphone Private Limited</t>
  </si>
  <si>
    <t xml:space="preserve">17 Aug 2017</t>
  </si>
  <si>
    <t xml:space="preserve">808</t>
  </si>
  <si>
    <t xml:space="preserve">Hi-Tech Frozen Facilities Private Limited</t>
  </si>
  <si>
    <t xml:space="preserve">834</t>
  </si>
  <si>
    <t xml:space="preserve">Hitesh Plastics Private Limited</t>
  </si>
  <si>
    <t xml:space="preserve">31 May 2022</t>
  </si>
  <si>
    <t xml:space="preserve">835</t>
  </si>
  <si>
    <t xml:space="preserve">HLL Biotech Limited</t>
  </si>
  <si>
    <t xml:space="preserve">18 Mar 2022</t>
  </si>
  <si>
    <t xml:space="preserve">836</t>
  </si>
  <si>
    <t xml:space="preserve">HLL MediPark Limited</t>
  </si>
  <si>
    <t xml:space="preserve">837</t>
  </si>
  <si>
    <t xml:space="preserve">Homera Tanning Industries Private Limited</t>
  </si>
  <si>
    <t xml:space="preserve">838</t>
  </si>
  <si>
    <t xml:space="preserve">Honest Derivatives Private Limited</t>
  </si>
  <si>
    <t xml:space="preserve">11 Sep 2019</t>
  </si>
  <si>
    <t xml:space="preserve">839</t>
  </si>
  <si>
    <t xml:space="preserve">Hooghly Alloy &amp; Steels Co. Private Limited</t>
  </si>
  <si>
    <t xml:space="preserve">840</t>
  </si>
  <si>
    <t xml:space="preserve">Hooghly Shipbreakers Limited</t>
  </si>
  <si>
    <t xml:space="preserve">841</t>
  </si>
  <si>
    <t xml:space="preserve">Hosley India Private Limited</t>
  </si>
  <si>
    <t xml:space="preserve">14 Nov 2024</t>
  </si>
  <si>
    <t xml:space="preserve">842</t>
  </si>
  <si>
    <t xml:space="preserve">Hotcrete Infrastructure Pvt. Ltd.</t>
  </si>
  <si>
    <t xml:space="preserve">20 May 2019</t>
  </si>
  <si>
    <t xml:space="preserve">843</t>
  </si>
  <si>
    <t xml:space="preserve">House of Plastic</t>
  </si>
  <si>
    <t xml:space="preserve">23 May 2022</t>
  </si>
  <si>
    <t xml:space="preserve">844</t>
  </si>
  <si>
    <t xml:space="preserve">Hrm Overseas</t>
  </si>
  <si>
    <t xml:space="preserve">845</t>
  </si>
  <si>
    <t xml:space="preserve">Hyderabad Metropolitan Water Supply And Sewerage Board</t>
  </si>
  <si>
    <t xml:space="preserve">846</t>
  </si>
  <si>
    <t xml:space="preserve">Hyderabad Steels</t>
  </si>
  <si>
    <t xml:space="preserve">847</t>
  </si>
  <si>
    <t xml:space="preserve">Hydrobaths Ramco Marketing Private Limited</t>
  </si>
  <si>
    <t xml:space="preserve">12 Dec 2017</t>
  </si>
  <si>
    <t xml:space="preserve">848</t>
  </si>
  <si>
    <t xml:space="preserve">Hydromatik</t>
  </si>
  <si>
    <t xml:space="preserve">849</t>
  </si>
  <si>
    <t xml:space="preserve">IBD Nalanda Infrastructure Pvt. Ltd.</t>
  </si>
  <si>
    <t xml:space="preserve">850</t>
  </si>
  <si>
    <t xml:space="preserve">Ibd Universal Pvt. Ltd.</t>
  </si>
  <si>
    <t xml:space="preserve">851</t>
  </si>
  <si>
    <t xml:space="preserve">Ibus Network &amp; Infrastructure Private Limited</t>
  </si>
  <si>
    <t xml:space="preserve">29 Nov 2024</t>
  </si>
  <si>
    <t xml:space="preserve">852</t>
  </si>
  <si>
    <t xml:space="preserve">IC India Pvt. Ltd</t>
  </si>
  <si>
    <t xml:space="preserve">30 May 2019</t>
  </si>
  <si>
    <t xml:space="preserve">853</t>
  </si>
  <si>
    <t xml:space="preserve">Icewear Creation</t>
  </si>
  <si>
    <t xml:space="preserve">26 Feb 2021</t>
  </si>
  <si>
    <t xml:space="preserve">854</t>
  </si>
  <si>
    <t xml:space="preserve">IL&amp;FS Financial Services Limited</t>
  </si>
  <si>
    <t xml:space="preserve">855</t>
  </si>
  <si>
    <t xml:space="preserve">IL&amp;FS Securities Services Limited</t>
  </si>
  <si>
    <t xml:space="preserve">24 Nov 2020</t>
  </si>
  <si>
    <t xml:space="preserve">856</t>
  </si>
  <si>
    <t xml:space="preserve">IL&amp;FS Solar Power Limited</t>
  </si>
  <si>
    <t xml:space="preserve">16 Apr 2020</t>
  </si>
  <si>
    <t xml:space="preserve">857</t>
  </si>
  <si>
    <t xml:space="preserve">IL&amp;FS Transportation Networks Limited</t>
  </si>
  <si>
    <t xml:space="preserve">01 Oct 2018</t>
  </si>
  <si>
    <t xml:space="preserve">858</t>
  </si>
  <si>
    <t xml:space="preserve">IMI Abrasives (P) Ltd.</t>
  </si>
  <si>
    <t xml:space="preserve">25 Nov 2019</t>
  </si>
  <si>
    <t xml:space="preserve">859</t>
  </si>
  <si>
    <t xml:space="preserve">Imperial Tubes Private Limited</t>
  </si>
  <si>
    <t xml:space="preserve">860</t>
  </si>
  <si>
    <t xml:space="preserve">Imperiall Technoforge Private Limited</t>
  </si>
  <si>
    <t xml:space="preserve">30 Jan 2017</t>
  </si>
  <si>
    <t xml:space="preserve">861</t>
  </si>
  <si>
    <t xml:space="preserve">Indera Ethnic &amp; Designs Private Limited</t>
  </si>
  <si>
    <t xml:space="preserve">30 Apr 2018</t>
  </si>
  <si>
    <t xml:space="preserve">862</t>
  </si>
  <si>
    <t xml:space="preserve">India Dairy Products Limited</t>
  </si>
  <si>
    <t xml:space="preserve">863</t>
  </si>
  <si>
    <t xml:space="preserve">Indian Construction Company</t>
  </si>
  <si>
    <t xml:space="preserve">864</t>
  </si>
  <si>
    <t xml:space="preserve">Indian Crop Science Private Limited</t>
  </si>
  <si>
    <t xml:space="preserve">865</t>
  </si>
  <si>
    <t xml:space="preserve">Indian Furniture Products Limited</t>
  </si>
  <si>
    <t xml:space="preserve">866</t>
  </si>
  <si>
    <t xml:space="preserve">Indian Gem &amp; Jewellery Imperial Private Limited</t>
  </si>
  <si>
    <t xml:space="preserve">867</t>
  </si>
  <si>
    <t xml:space="preserve">Indian Pulp &amp; Paper Private Limited</t>
  </si>
  <si>
    <t xml:space="preserve">868</t>
  </si>
  <si>
    <t xml:space="preserve">Indian Steel Corporation Limited</t>
  </si>
  <si>
    <t xml:space="preserve">10 Oct 2022</t>
  </si>
  <si>
    <t xml:space="preserve">869</t>
  </si>
  <si>
    <t xml:space="preserve">Indiana Hospital and Heart Institute Limited</t>
  </si>
  <si>
    <t xml:space="preserve">870</t>
  </si>
  <si>
    <t xml:space="preserve">Indo Dutch Carpet Mfg. Pvt. Ltd.</t>
  </si>
  <si>
    <t xml:space="preserve">871</t>
  </si>
  <si>
    <t xml:space="preserve">Indo German Carbons Limited</t>
  </si>
  <si>
    <t xml:space="preserve">872</t>
  </si>
  <si>
    <t xml:space="preserve">Indo Vacuum Technologies Private Limited</t>
  </si>
  <si>
    <t xml:space="preserve">873</t>
  </si>
  <si>
    <t xml:space="preserve">Indraprastha Automobiles Private Limited</t>
  </si>
  <si>
    <t xml:space="preserve">874</t>
  </si>
  <si>
    <t xml:space="preserve">Indure Private Limited</t>
  </si>
  <si>
    <t xml:space="preserve">875</t>
  </si>
  <si>
    <t xml:space="preserve">Indus Integrated Information Management Limited</t>
  </si>
  <si>
    <t xml:space="preserve">18 Sep 2017</t>
  </si>
  <si>
    <t xml:space="preserve">876</t>
  </si>
  <si>
    <t xml:space="preserve">Indus Mega Food Park Pvt. Ltd.</t>
  </si>
  <si>
    <t xml:space="preserve">877</t>
  </si>
  <si>
    <t xml:space="preserve">Industrial Forging Industries Private Limited</t>
  </si>
  <si>
    <t xml:space="preserve">22 Jan 2021</t>
  </si>
  <si>
    <t xml:space="preserve">878</t>
  </si>
  <si>
    <t xml:space="preserve">Industrial Manufacturers</t>
  </si>
  <si>
    <t xml:space="preserve">27 Sep 2023</t>
  </si>
  <si>
    <t xml:space="preserve">879</t>
  </si>
  <si>
    <t xml:space="preserve">Infant's Travels Private Limited</t>
  </si>
  <si>
    <t xml:space="preserve">880</t>
  </si>
  <si>
    <t xml:space="preserve">Infotel Business Solutions Limited</t>
  </si>
  <si>
    <t xml:space="preserve">16 Jun 2017</t>
  </si>
  <si>
    <t xml:space="preserve">881</t>
  </si>
  <si>
    <t xml:space="preserve">Infrastructure Leasing &amp; Financial Services Ltd</t>
  </si>
  <si>
    <t xml:space="preserve">882</t>
  </si>
  <si>
    <t xml:space="preserve">Instyle Exports Private Limited</t>
  </si>
  <si>
    <t xml:space="preserve">883</t>
  </si>
  <si>
    <t xml:space="preserve">International Fresh Farm Products India Limited</t>
  </si>
  <si>
    <t xml:space="preserve">06 Nov 2018</t>
  </si>
  <si>
    <t xml:space="preserve">885</t>
  </si>
  <si>
    <t xml:space="preserve">Ireo Hospitality Company Private Limited</t>
  </si>
  <si>
    <t xml:space="preserve">886</t>
  </si>
  <si>
    <t xml:space="preserve">IREO Private Limited</t>
  </si>
  <si>
    <t xml:space="preserve">884</t>
  </si>
  <si>
    <t xml:space="preserve">Ire-Tex Premier India Pvt Ltd</t>
  </si>
  <si>
    <t xml:space="preserve">887</t>
  </si>
  <si>
    <t xml:space="preserve">Iris Computers Limited</t>
  </si>
  <si>
    <t xml:space="preserve">888</t>
  </si>
  <si>
    <t xml:space="preserve">Iron Triangle Limited</t>
  </si>
  <si>
    <t xml:space="preserve">28 Apr 2023</t>
  </si>
  <si>
    <t xml:space="preserve">889</t>
  </si>
  <si>
    <t xml:space="preserve">Ishaan Metals Private Limited</t>
  </si>
  <si>
    <t xml:space="preserve">890</t>
  </si>
  <si>
    <t xml:space="preserve">Ishwar Cables Private Limited</t>
  </si>
  <si>
    <t xml:space="preserve">891</t>
  </si>
  <si>
    <t xml:space="preserve">Ishwar Metal Industries</t>
  </si>
  <si>
    <t xml:space="preserve">892</t>
  </si>
  <si>
    <t xml:space="preserve">Ishwar Oil Mill</t>
  </si>
  <si>
    <t xml:space="preserve">893</t>
  </si>
  <si>
    <t xml:space="preserve">Itamax Ceramic Pvt. Ltd.</t>
  </si>
  <si>
    <t xml:space="preserve">30 Jul 2020</t>
  </si>
  <si>
    <t xml:space="preserve">894</t>
  </si>
  <si>
    <t xml:space="preserve">Ivax Paper Chemicals Private Limited (Formerly known as Ivax Paper Chemicals Limited)</t>
  </si>
  <si>
    <t xml:space="preserve">22 Sep 2017</t>
  </si>
  <si>
    <t xml:space="preserve">895</t>
  </si>
  <si>
    <t xml:space="preserve">IVRCL Chandrapur Tollways Limited</t>
  </si>
  <si>
    <t xml:space="preserve">23 Dec 2020</t>
  </si>
  <si>
    <t xml:space="preserve">896</t>
  </si>
  <si>
    <t xml:space="preserve">J C Construction Private Limited</t>
  </si>
  <si>
    <t xml:space="preserve">897</t>
  </si>
  <si>
    <t xml:space="preserve">J M Constructions Company</t>
  </si>
  <si>
    <t xml:space="preserve">19 Jul 2023</t>
  </si>
  <si>
    <t xml:space="preserve">898</t>
  </si>
  <si>
    <t xml:space="preserve">J Pan Tubular Components Private Limited</t>
  </si>
  <si>
    <t xml:space="preserve">14 Sep 2018</t>
  </si>
  <si>
    <t xml:space="preserve">899</t>
  </si>
  <si>
    <t xml:space="preserve">J. P. Flour Mills Pvt Ltd</t>
  </si>
  <si>
    <t xml:space="preserve">900</t>
  </si>
  <si>
    <t xml:space="preserve">J.D.Jadia Infrastructures Pvt.Ltd.</t>
  </si>
  <si>
    <t xml:space="preserve">03 Nov 2020</t>
  </si>
  <si>
    <t xml:space="preserve">901</t>
  </si>
  <si>
    <t xml:space="preserve">J.I. Enterprises</t>
  </si>
  <si>
    <t xml:space="preserve">902</t>
  </si>
  <si>
    <t xml:space="preserve">J.K Transformers</t>
  </si>
  <si>
    <t xml:space="preserve">903</t>
  </si>
  <si>
    <t xml:space="preserve">J.R.Foods Limited</t>
  </si>
  <si>
    <t xml:space="preserve">904</t>
  </si>
  <si>
    <t xml:space="preserve">J.Y. International</t>
  </si>
  <si>
    <t xml:space="preserve">30 Oct 2017</t>
  </si>
  <si>
    <t xml:space="preserve">905</t>
  </si>
  <si>
    <t xml:space="preserve">Jabalpur Entertainment Complexes Private Limited</t>
  </si>
  <si>
    <t xml:space="preserve">01 May 2017</t>
  </si>
  <si>
    <t xml:space="preserve">906</t>
  </si>
  <si>
    <t xml:space="preserve">Jadli Foods (India) Pvt. Ltd.</t>
  </si>
  <si>
    <t xml:space="preserve">907</t>
  </si>
  <si>
    <t xml:space="preserve">Jagdamba Oil &amp; General Mills</t>
  </si>
  <si>
    <t xml:space="preserve">908</t>
  </si>
  <si>
    <t xml:space="preserve">Jagdambay Cotspin Limited</t>
  </si>
  <si>
    <t xml:space="preserve">909</t>
  </si>
  <si>
    <t xml:space="preserve">Jagrut Motors Private Limited</t>
  </si>
  <si>
    <t xml:space="preserve">02 Aug 2017</t>
  </si>
  <si>
    <t xml:space="preserve">910</t>
  </si>
  <si>
    <t xml:space="preserve">Jagtial Municipality</t>
  </si>
  <si>
    <t xml:space="preserve">911</t>
  </si>
  <si>
    <t xml:space="preserve">Jai Bhole Steel Tubes Private Limited</t>
  </si>
  <si>
    <t xml:space="preserve">912</t>
  </si>
  <si>
    <t xml:space="preserve">Jai Durga Oil Extraction Private Limited</t>
  </si>
  <si>
    <t xml:space="preserve">913</t>
  </si>
  <si>
    <t xml:space="preserve">Jai Laxmi Cement Co. (P) Limited</t>
  </si>
  <si>
    <t xml:space="preserve">914</t>
  </si>
  <si>
    <t xml:space="preserve">Jai Maa Savitri Educational Society</t>
  </si>
  <si>
    <t xml:space="preserve">915</t>
  </si>
  <si>
    <t xml:space="preserve">Jai Maakali Fish Farms Private Limited</t>
  </si>
  <si>
    <t xml:space="preserve">916</t>
  </si>
  <si>
    <t xml:space="preserve">Jai Maharashtra Nagar Development Private Limited</t>
  </si>
  <si>
    <t xml:space="preserve">05 Aug 2022</t>
  </si>
  <si>
    <t xml:space="preserve">917</t>
  </si>
  <si>
    <t xml:space="preserve">Jaigo Agro Industries</t>
  </si>
  <si>
    <t xml:space="preserve">918</t>
  </si>
  <si>
    <t xml:space="preserve">Jain Agencies</t>
  </si>
  <si>
    <t xml:space="preserve">919</t>
  </si>
  <si>
    <t xml:space="preserve">Jain Farm Fresh Foods Limited</t>
  </si>
  <si>
    <t xml:space="preserve">920</t>
  </si>
  <si>
    <t xml:space="preserve">Jain Vinimay Private Limited</t>
  </si>
  <si>
    <t xml:space="preserve">921</t>
  </si>
  <si>
    <t xml:space="preserve">Jainalco Industries Private Limited</t>
  </si>
  <si>
    <t xml:space="preserve">922</t>
  </si>
  <si>
    <t xml:space="preserve">Jainam Coatex LLP</t>
  </si>
  <si>
    <t xml:space="preserve">923</t>
  </si>
  <si>
    <t xml:space="preserve">Jaipur Integrated Texcraft Park Private Limited</t>
  </si>
  <si>
    <t xml:space="preserve">22 Aug 2022</t>
  </si>
  <si>
    <t xml:space="preserve">924</t>
  </si>
  <si>
    <t xml:space="preserve">Jaipur Rugs Company Private Limited</t>
  </si>
  <si>
    <t xml:space="preserve">925</t>
  </si>
  <si>
    <t xml:space="preserve">Jais Jewellery Private Limited</t>
  </si>
  <si>
    <t xml:space="preserve">17 Feb 2020</t>
  </si>
  <si>
    <t xml:space="preserve">926</t>
  </si>
  <si>
    <t xml:space="preserve">Jajodia Exports Pvt Ltd</t>
  </si>
  <si>
    <t xml:space="preserve">927</t>
  </si>
  <si>
    <t xml:space="preserve">JAK Associates</t>
  </si>
  <si>
    <t xml:space="preserve">928</t>
  </si>
  <si>
    <t xml:space="preserve">Jalan Synthetics</t>
  </si>
  <si>
    <t xml:space="preserve">929</t>
  </si>
  <si>
    <t xml:space="preserve">Jalaram Cotton Ginning and Pressing Factory</t>
  </si>
  <si>
    <t xml:space="preserve">21 Sep 2020</t>
  </si>
  <si>
    <t xml:space="preserve">930</t>
  </si>
  <si>
    <t xml:space="preserve">Jampana Construction Pvt Ltd</t>
  </si>
  <si>
    <t xml:space="preserve">931</t>
  </si>
  <si>
    <t xml:space="preserve">Jampana Padmavathi</t>
  </si>
  <si>
    <t xml:space="preserve">932</t>
  </si>
  <si>
    <t xml:space="preserve">Janta Rice Mills</t>
  </si>
  <si>
    <t xml:space="preserve">08 Mar 2018</t>
  </si>
  <si>
    <t xml:space="preserve">933</t>
  </si>
  <si>
    <t xml:space="preserve">Jasmine Industrial Corporation</t>
  </si>
  <si>
    <t xml:space="preserve">04 Dec 2017</t>
  </si>
  <si>
    <t xml:space="preserve">934</t>
  </si>
  <si>
    <t xml:space="preserve">Jassmine Enterprises</t>
  </si>
  <si>
    <t xml:space="preserve">935</t>
  </si>
  <si>
    <t xml:space="preserve">Javin Construction Private Limited</t>
  </si>
  <si>
    <t xml:space="preserve">936</t>
  </si>
  <si>
    <t xml:space="preserve">Jawaharnagar Municipal Corporation</t>
  </si>
  <si>
    <t xml:space="preserve">937</t>
  </si>
  <si>
    <t xml:space="preserve">Jay Bharat Food Process Private Limited</t>
  </si>
  <si>
    <t xml:space="preserve">938</t>
  </si>
  <si>
    <t xml:space="preserve">Jay Bharat Spices Private Limited</t>
  </si>
  <si>
    <t xml:space="preserve">939</t>
  </si>
  <si>
    <t xml:space="preserve">Jay Enterprise</t>
  </si>
  <si>
    <t xml:space="preserve">10 Nov 2017</t>
  </si>
  <si>
    <t xml:space="preserve">940</t>
  </si>
  <si>
    <t xml:space="preserve">Jay Formulations Limited</t>
  </si>
  <si>
    <t xml:space="preserve">941</t>
  </si>
  <si>
    <t xml:space="preserve">Jay Metal</t>
  </si>
  <si>
    <t xml:space="preserve">942</t>
  </si>
  <si>
    <t xml:space="preserve">Jay Palghar Net Co.</t>
  </si>
  <si>
    <t xml:space="preserve">943</t>
  </si>
  <si>
    <t xml:space="preserve">Jay Parvati Cold Storage</t>
  </si>
  <si>
    <t xml:space="preserve">944</t>
  </si>
  <si>
    <t xml:space="preserve">Jay Umiya Industries</t>
  </si>
  <si>
    <t xml:space="preserve">945</t>
  </si>
  <si>
    <t xml:space="preserve">Jaya Lathe Works</t>
  </si>
  <si>
    <t xml:space="preserve">24 Nov 2022</t>
  </si>
  <si>
    <t xml:space="preserve">946</t>
  </si>
  <si>
    <t xml:space="preserve">Jayalaxmi Enterprises</t>
  </si>
  <si>
    <t xml:space="preserve">29 Jan 2018</t>
  </si>
  <si>
    <t xml:space="preserve">947</t>
  </si>
  <si>
    <t xml:space="preserve">Jayant Printery Llp</t>
  </si>
  <si>
    <t xml:space="preserve">948</t>
  </si>
  <si>
    <t xml:space="preserve">Jayaraj Fortune Packaging Private Limited</t>
  </si>
  <si>
    <t xml:space="preserve">949</t>
  </si>
  <si>
    <t xml:space="preserve">Jayshree Builders</t>
  </si>
  <si>
    <t xml:space="preserve">950</t>
  </si>
  <si>
    <t xml:space="preserve">Jeevisha Foods Pvt. Ltd.</t>
  </si>
  <si>
    <t xml:space="preserve">16 Oct 2017</t>
  </si>
  <si>
    <t xml:space="preserve">951</t>
  </si>
  <si>
    <t xml:space="preserve">Jell Pharmaceuticals Private Limited</t>
  </si>
  <si>
    <t xml:space="preserve">29 Jul 2019</t>
  </si>
  <si>
    <t xml:space="preserve">952</t>
  </si>
  <si>
    <t xml:space="preserve">Jeppiaar Power Corporation Private Limited</t>
  </si>
  <si>
    <t xml:space="preserve">21 Jul 2017</t>
  </si>
  <si>
    <t xml:space="preserve">953</t>
  </si>
  <si>
    <t xml:space="preserve">Jet Airways (India) Limited</t>
  </si>
  <si>
    <t xml:space="preserve">954</t>
  </si>
  <si>
    <t xml:space="preserve">Jharkhand Infrastructure Implementation Company Limited</t>
  </si>
  <si>
    <t xml:space="preserve">07 Oct 2024</t>
  </si>
  <si>
    <t xml:space="preserve">955</t>
  </si>
  <si>
    <t xml:space="preserve">JHV Steels Limited</t>
  </si>
  <si>
    <t xml:space="preserve">956</t>
  </si>
  <si>
    <t xml:space="preserve">Jinaehat Export Private Limited</t>
  </si>
  <si>
    <t xml:space="preserve">957</t>
  </si>
  <si>
    <t xml:space="preserve">Jindal Trading Company</t>
  </si>
  <si>
    <t xml:space="preserve">16 Oct 2020</t>
  </si>
  <si>
    <t xml:space="preserve">958</t>
  </si>
  <si>
    <t xml:space="preserve">Jineshwar Malleable &amp; Alloys</t>
  </si>
  <si>
    <t xml:space="preserve">959</t>
  </si>
  <si>
    <t xml:space="preserve">Jl Hotels Private Limited</t>
  </si>
  <si>
    <t xml:space="preserve">960</t>
  </si>
  <si>
    <t xml:space="preserve">JMT Auto Limited</t>
  </si>
  <si>
    <t xml:space="preserve">19 Apr 2022</t>
  </si>
  <si>
    <t xml:space="preserve">961</t>
  </si>
  <si>
    <t xml:space="preserve">Jonas Petro Products Private Limited</t>
  </si>
  <si>
    <t xml:space="preserve">962</t>
  </si>
  <si>
    <t xml:space="preserve">Jonna Steels</t>
  </si>
  <si>
    <t xml:space="preserve">963</t>
  </si>
  <si>
    <t xml:space="preserve">JOP Hotels Limited</t>
  </si>
  <si>
    <t xml:space="preserve">964</t>
  </si>
  <si>
    <t xml:space="preserve">Joseph Leslie &amp; Company LLP</t>
  </si>
  <si>
    <t xml:space="preserve">965</t>
  </si>
  <si>
    <t xml:space="preserve">Jot Impex Pvt Ltd</t>
  </si>
  <si>
    <t xml:space="preserve">10 Apr 2017</t>
  </si>
  <si>
    <t xml:space="preserve">966</t>
  </si>
  <si>
    <t xml:space="preserve">Joymakali Cold Storage Private Limited</t>
  </si>
  <si>
    <t xml:space="preserve">967</t>
  </si>
  <si>
    <t xml:space="preserve">Jp Sortex Private Limited</t>
  </si>
  <si>
    <t xml:space="preserve">07 Mar 2017</t>
  </si>
  <si>
    <t xml:space="preserve">968</t>
  </si>
  <si>
    <t xml:space="preserve">JPC Infra Private Limited</t>
  </si>
  <si>
    <t xml:space="preserve">11 Jun 2018</t>
  </si>
  <si>
    <t xml:space="preserve">969</t>
  </si>
  <si>
    <t xml:space="preserve">JS Estates and Projects Private Limited</t>
  </si>
  <si>
    <t xml:space="preserve">970</t>
  </si>
  <si>
    <t xml:space="preserve">JSB Aluminium Private Limited</t>
  </si>
  <si>
    <t xml:space="preserve">30 May 2022</t>
  </si>
  <si>
    <t xml:space="preserve">971</t>
  </si>
  <si>
    <t xml:space="preserve">JSG Innotech Private Limited</t>
  </si>
  <si>
    <t xml:space="preserve">21 Mar 2025</t>
  </si>
  <si>
    <t xml:space="preserve">972</t>
  </si>
  <si>
    <t xml:space="preserve">JSK Marketing Limited</t>
  </si>
  <si>
    <t xml:space="preserve">973</t>
  </si>
  <si>
    <t xml:space="preserve">Jumbo Roofings and Tiles</t>
  </si>
  <si>
    <t xml:space="preserve">974</t>
  </si>
  <si>
    <t xml:space="preserve">Jungle Homes Holidays Private Limited</t>
  </si>
  <si>
    <t xml:space="preserve">25 Jun 2020</t>
  </si>
  <si>
    <t xml:space="preserve">975</t>
  </si>
  <si>
    <t xml:space="preserve">Jyote Motors Private Limited</t>
  </si>
  <si>
    <t xml:space="preserve">976</t>
  </si>
  <si>
    <t xml:space="preserve">Jyoti General Industries</t>
  </si>
  <si>
    <t xml:space="preserve">29 Sep 2017</t>
  </si>
  <si>
    <t xml:space="preserve">977</t>
  </si>
  <si>
    <t xml:space="preserve">Jyoti Vincom Private Limited</t>
  </si>
  <si>
    <t xml:space="preserve">978</t>
  </si>
  <si>
    <t xml:space="preserve">K B D Industries LLP</t>
  </si>
  <si>
    <t xml:space="preserve">07 Apr 2025</t>
  </si>
  <si>
    <t xml:space="preserve">979</t>
  </si>
  <si>
    <t xml:space="preserve">K G N Electricals</t>
  </si>
  <si>
    <t xml:space="preserve">980</t>
  </si>
  <si>
    <t xml:space="preserve">K Mohan &amp; Company (Exports) Private Limited</t>
  </si>
  <si>
    <t xml:space="preserve">981</t>
  </si>
  <si>
    <t xml:space="preserve">K S Infra Transmission Private Limited</t>
  </si>
  <si>
    <t xml:space="preserve">982</t>
  </si>
  <si>
    <t xml:space="preserve">K V Aromatics Private Limited</t>
  </si>
  <si>
    <t xml:space="preserve">14 Sep 2020</t>
  </si>
  <si>
    <t xml:space="preserve">984</t>
  </si>
  <si>
    <t xml:space="preserve">K. B. Products Private Limited</t>
  </si>
  <si>
    <t xml:space="preserve">985</t>
  </si>
  <si>
    <t xml:space="preserve">K. C. Ferro &amp; Rerolling Mills Private Limited</t>
  </si>
  <si>
    <t xml:space="preserve">986</t>
  </si>
  <si>
    <t xml:space="preserve">K. K. Cotex</t>
  </si>
  <si>
    <t xml:space="preserve">24 Jun 2020</t>
  </si>
  <si>
    <t xml:space="preserve">987</t>
  </si>
  <si>
    <t xml:space="preserve">K. M. Fisheries</t>
  </si>
  <si>
    <t xml:space="preserve">988</t>
  </si>
  <si>
    <t xml:space="preserve">K. Madana Mohana Rao And Company</t>
  </si>
  <si>
    <t xml:space="preserve">989</t>
  </si>
  <si>
    <t xml:space="preserve">K. Prasad Babu</t>
  </si>
  <si>
    <t xml:space="preserve">990</t>
  </si>
  <si>
    <t xml:space="preserve">K. R. Anand</t>
  </si>
  <si>
    <t xml:space="preserve">991</t>
  </si>
  <si>
    <t xml:space="preserve">K. Rasiklal Exim Pvt. Ltd.</t>
  </si>
  <si>
    <t xml:space="preserve">22 Jun 2023</t>
  </si>
  <si>
    <t xml:space="preserve">992</t>
  </si>
  <si>
    <t xml:space="preserve">K. S. Fiber</t>
  </si>
  <si>
    <t xml:space="preserve">993</t>
  </si>
  <si>
    <t xml:space="preserve">K. Venkata Ramana Murthy &amp; Others</t>
  </si>
  <si>
    <t xml:space="preserve">994</t>
  </si>
  <si>
    <t xml:space="preserve">K.C.Toolroom Private Limited</t>
  </si>
  <si>
    <t xml:space="preserve">995</t>
  </si>
  <si>
    <t xml:space="preserve">K.K. Builders</t>
  </si>
  <si>
    <t xml:space="preserve">996</t>
  </si>
  <si>
    <t xml:space="preserve">K.K. Leisures &amp; Tourism International Private Limited</t>
  </si>
  <si>
    <t xml:space="preserve">997</t>
  </si>
  <si>
    <t xml:space="preserve">K.K. Proteins Private Limited</t>
  </si>
  <si>
    <t xml:space="preserve">18 Sep 2020</t>
  </si>
  <si>
    <t xml:space="preserve">998</t>
  </si>
  <si>
    <t xml:space="preserve">K.K.Kashyap Green Solar Energy Producer</t>
  </si>
  <si>
    <t xml:space="preserve">999</t>
  </si>
  <si>
    <t xml:space="preserve">K.P. Saha Private Limited Unit: Maa Bameswari Rice Mill</t>
  </si>
  <si>
    <t xml:space="preserve">1000</t>
  </si>
  <si>
    <t xml:space="preserve">K.P.R. Agrochem Limited</t>
  </si>
  <si>
    <t xml:space="preserve">28 Apr 2017</t>
  </si>
  <si>
    <t xml:space="preserve">1001</t>
  </si>
  <si>
    <t xml:space="preserve">K.P.R. Agros Poultries Private Limited</t>
  </si>
  <si>
    <t xml:space="preserve">1002</t>
  </si>
  <si>
    <t xml:space="preserve">K.P.R. Rice Mills</t>
  </si>
  <si>
    <t xml:space="preserve">17 Nov 2023</t>
  </si>
  <si>
    <t xml:space="preserve">1003</t>
  </si>
  <si>
    <t xml:space="preserve">K.R.K. Educational Trust</t>
  </si>
  <si>
    <t xml:space="preserve">1004</t>
  </si>
  <si>
    <t xml:space="preserve">K.R.S. &amp; Jain Associates</t>
  </si>
  <si>
    <t xml:space="preserve">20 Jul 2018</t>
  </si>
  <si>
    <t xml:space="preserve">1005</t>
  </si>
  <si>
    <t xml:space="preserve">K2 Metals Private Limited</t>
  </si>
  <si>
    <t xml:space="preserve">05 Jan 2024</t>
  </si>
  <si>
    <t xml:space="preserve">1006</t>
  </si>
  <si>
    <t xml:space="preserve">Kadvani Forge Limited</t>
  </si>
  <si>
    <t xml:space="preserve">25 May 2017</t>
  </si>
  <si>
    <t xml:space="preserve">1007</t>
  </si>
  <si>
    <t xml:space="preserve">Kailash Devbuild (India) Pvt Ltd</t>
  </si>
  <si>
    <t xml:space="preserve">1008</t>
  </si>
  <si>
    <t xml:space="preserve">Kailash Infratech Private Limited</t>
  </si>
  <si>
    <t xml:space="preserve">1009</t>
  </si>
  <si>
    <t xml:space="preserve">Kailash Trading Corporation</t>
  </si>
  <si>
    <t xml:space="preserve">1010</t>
  </si>
  <si>
    <t xml:space="preserve">Kajaria Infinity Private Limited (Formerly known as Cosa Ceramics Private Limited)</t>
  </si>
  <si>
    <t xml:space="preserve">31 Dec 2021</t>
  </si>
  <si>
    <t xml:space="preserve">1011</t>
  </si>
  <si>
    <t xml:space="preserve">Kakatiya Constructions</t>
  </si>
  <si>
    <t xml:space="preserve">1012</t>
  </si>
  <si>
    <t xml:space="preserve">Kala Genset Private Limited</t>
  </si>
  <si>
    <t xml:space="preserve">29 May 2020</t>
  </si>
  <si>
    <t xml:space="preserve">1013</t>
  </si>
  <si>
    <t xml:space="preserve">Kali Aerated Water Works Private Limited</t>
  </si>
  <si>
    <t xml:space="preserve">14 Mar 2022</t>
  </si>
  <si>
    <t xml:space="preserve">1014</t>
  </si>
  <si>
    <t xml:space="preserve">Kalinga Breeding Farms Private Limited</t>
  </si>
  <si>
    <t xml:space="preserve">17 Nov 2017</t>
  </si>
  <si>
    <t xml:space="preserve">1015</t>
  </si>
  <si>
    <t xml:space="preserve">Kalis Sparkling Water (P) Ltd.</t>
  </si>
  <si>
    <t xml:space="preserve">1016</t>
  </si>
  <si>
    <t xml:space="preserve">Kallam Agro Products &amp; Oils (P) Limited</t>
  </si>
  <si>
    <t xml:space="preserve">1017</t>
  </si>
  <si>
    <t xml:space="preserve">Kalpana Impex</t>
  </si>
  <si>
    <t xml:space="preserve">1018</t>
  </si>
  <si>
    <t xml:space="preserve">Kalpana Wines</t>
  </si>
  <si>
    <t xml:space="preserve">1019</t>
  </si>
  <si>
    <t xml:space="preserve">Kalpesh Synthetics Private Limited</t>
  </si>
  <si>
    <t xml:space="preserve">1020</t>
  </si>
  <si>
    <t xml:space="preserve">Kalra Overseas &amp; Precision Engineering Limited</t>
  </si>
  <si>
    <t xml:space="preserve">1021</t>
  </si>
  <si>
    <t xml:space="preserve">Kalsi Brothers</t>
  </si>
  <si>
    <t xml:space="preserve">1022</t>
  </si>
  <si>
    <t xml:space="preserve">Kalthia Bhavnagar Pipli Highway Pvt. Ltd.</t>
  </si>
  <si>
    <t xml:space="preserve">15 Mar 2023</t>
  </si>
  <si>
    <t xml:space="preserve">1023</t>
  </si>
  <si>
    <t xml:space="preserve">Kalthia Infra Projects Private Limited</t>
  </si>
  <si>
    <t xml:space="preserve">1024</t>
  </si>
  <si>
    <t xml:space="preserve">Kalthia Infra-Con Private Limited</t>
  </si>
  <si>
    <t xml:space="preserve">10 Jun 2024</t>
  </si>
  <si>
    <t xml:space="preserve">1025</t>
  </si>
  <si>
    <t xml:space="preserve">Kalwakurthy Municipality</t>
  </si>
  <si>
    <t xml:space="preserve">1026</t>
  </si>
  <si>
    <t xml:space="preserve">Kalya Constructions Private Limited</t>
  </si>
  <si>
    <t xml:space="preserve">1027</t>
  </si>
  <si>
    <t xml:space="preserve">Kalyani Developers</t>
  </si>
  <si>
    <t xml:space="preserve">30 Sep 2024</t>
  </si>
  <si>
    <t xml:space="preserve">1028</t>
  </si>
  <si>
    <t xml:space="preserve">Kalyani Techpark Private Limited</t>
  </si>
  <si>
    <t xml:space="preserve">14 Aug 2024</t>
  </si>
  <si>
    <t xml:space="preserve">1029</t>
  </si>
  <si>
    <t xml:space="preserve">Kamakhya Board</t>
  </si>
  <si>
    <t xml:space="preserve">25 Feb 2022</t>
  </si>
  <si>
    <t xml:space="preserve">1030</t>
  </si>
  <si>
    <t xml:space="preserve">Kamakhya Traders</t>
  </si>
  <si>
    <t xml:space="preserve">1031</t>
  </si>
  <si>
    <t xml:space="preserve">Kamala Board Box Pvt. Ltd.</t>
  </si>
  <si>
    <t xml:space="preserve">1032</t>
  </si>
  <si>
    <t xml:space="preserve">Kamareddy Municipality</t>
  </si>
  <si>
    <t xml:space="preserve">1033</t>
  </si>
  <si>
    <t xml:space="preserve">Kamarli Steels Private Limited</t>
  </si>
  <si>
    <t xml:space="preserve">1034</t>
  </si>
  <si>
    <t xml:space="preserve">Kamlesh Metacast Private Limited</t>
  </si>
  <si>
    <t xml:space="preserve">1035</t>
  </si>
  <si>
    <t xml:space="preserve">Kamman Corporation</t>
  </si>
  <si>
    <t xml:space="preserve">11 Apr 2017</t>
  </si>
  <si>
    <t xml:space="preserve">1036</t>
  </si>
  <si>
    <t xml:space="preserve">Kanchan Auto Private Limited</t>
  </si>
  <si>
    <t xml:space="preserve">1037</t>
  </si>
  <si>
    <t xml:space="preserve">Kanchan Motors</t>
  </si>
  <si>
    <t xml:space="preserve">1038</t>
  </si>
  <si>
    <t xml:space="preserve">Kandala Distributors</t>
  </si>
  <si>
    <t xml:space="preserve">19 Feb 2025</t>
  </si>
  <si>
    <t xml:space="preserve">1039</t>
  </si>
  <si>
    <t xml:space="preserve">Kandalaa</t>
  </si>
  <si>
    <t xml:space="preserve">25 Jan 2024</t>
  </si>
  <si>
    <t xml:space="preserve">1040</t>
  </si>
  <si>
    <t xml:space="preserve">Kanishk Metalloys</t>
  </si>
  <si>
    <t xml:space="preserve">1041</t>
  </si>
  <si>
    <t xml:space="preserve">Kansara Forge &amp; Wires Private Limited</t>
  </si>
  <si>
    <t xml:space="preserve">20 Apr 2017</t>
  </si>
  <si>
    <t xml:space="preserve">1042</t>
  </si>
  <si>
    <t xml:space="preserve">Kanti Floor Furnishers</t>
  </si>
  <si>
    <t xml:space="preserve">1043</t>
  </si>
  <si>
    <t xml:space="preserve">Kanyaka Corporation</t>
  </si>
  <si>
    <t xml:space="preserve">23 Sep 2019</t>
  </si>
  <si>
    <t xml:space="preserve">1044</t>
  </si>
  <si>
    <t xml:space="preserve">Kapoor Oil Industries</t>
  </si>
  <si>
    <t xml:space="preserve">1045</t>
  </si>
  <si>
    <t xml:space="preserve">Kaprisa International Private Limited</t>
  </si>
  <si>
    <t xml:space="preserve">1046</t>
  </si>
  <si>
    <t xml:space="preserve">Kapsons Engineers Private Limited</t>
  </si>
  <si>
    <t xml:space="preserve">1047</t>
  </si>
  <si>
    <t xml:space="preserve">Karimnagar Municipal Corporation</t>
  </si>
  <si>
    <t xml:space="preserve">21 Mar 2022</t>
  </si>
  <si>
    <t xml:space="preserve">1048</t>
  </si>
  <si>
    <t xml:space="preserve">Karlo Automobiles (P) Ltd</t>
  </si>
  <si>
    <t xml:space="preserve">1049</t>
  </si>
  <si>
    <t xml:space="preserve">Karna International</t>
  </si>
  <si>
    <t xml:space="preserve">04 Sep 2023</t>
  </si>
  <si>
    <t xml:space="preserve">1050</t>
  </si>
  <si>
    <t xml:space="preserve">Karnataka Housing Board</t>
  </si>
  <si>
    <t xml:space="preserve">1051</t>
  </si>
  <si>
    <t xml:space="preserve">Karnataka Power Corporation Limited</t>
  </si>
  <si>
    <t xml:space="preserve">24 Mar 2025</t>
  </si>
  <si>
    <t xml:space="preserve">1052</t>
  </si>
  <si>
    <t xml:space="preserve">Karnimata Cold Storage Limited (Erstwhile Karnimata Cold Storage Private Limited)</t>
  </si>
  <si>
    <t xml:space="preserve">1053</t>
  </si>
  <si>
    <t xml:space="preserve">Karthik Roofings</t>
  </si>
  <si>
    <t xml:space="preserve">1054</t>
  </si>
  <si>
    <t xml:space="preserve">Karthik Roofings and Structurals Pvt Ltd</t>
  </si>
  <si>
    <t xml:space="preserve">1055</t>
  </si>
  <si>
    <t xml:space="preserve">Kartikey Resorts And Hospitality (P) Limited</t>
  </si>
  <si>
    <t xml:space="preserve">20 Mar 2018</t>
  </si>
  <si>
    <t xml:space="preserve">1056</t>
  </si>
  <si>
    <t xml:space="preserve">Kartya Constructions Pvt. Ltd.</t>
  </si>
  <si>
    <t xml:space="preserve">20 Mar 2017</t>
  </si>
  <si>
    <t xml:space="preserve">1057</t>
  </si>
  <si>
    <t xml:space="preserve">Karunya Educational and Research Trust</t>
  </si>
  <si>
    <t xml:space="preserve">26 Jul 2024</t>
  </si>
  <si>
    <t xml:space="preserve">1058</t>
  </si>
  <si>
    <t xml:space="preserve">Karuppaswamy Builders Private Limited</t>
  </si>
  <si>
    <t xml:space="preserve">1059</t>
  </si>
  <si>
    <t xml:space="preserve">Karvy Financial Services Limited</t>
  </si>
  <si>
    <t xml:space="preserve">26 Dec 2024</t>
  </si>
  <si>
    <t xml:space="preserve">1060</t>
  </si>
  <si>
    <t xml:space="preserve">Karvy Stock Broking Limited</t>
  </si>
  <si>
    <t xml:space="preserve">18 Nov 2019</t>
  </si>
  <si>
    <t xml:space="preserve">1061</t>
  </si>
  <si>
    <t xml:space="preserve">Kasturchand Fertilizers Pvt. Ltd.</t>
  </si>
  <si>
    <t xml:space="preserve">1062</t>
  </si>
  <si>
    <t xml:space="preserve">Kasturi Commodities Private Limited</t>
  </si>
  <si>
    <t xml:space="preserve">1063</t>
  </si>
  <si>
    <t xml:space="preserve">Katira Construction Ltd.</t>
  </si>
  <si>
    <t xml:space="preserve">24 Jun 2022</t>
  </si>
  <si>
    <t xml:space="preserve">1064</t>
  </si>
  <si>
    <t xml:space="preserve">Kavali Municipality</t>
  </si>
  <si>
    <t xml:space="preserve">29 Jan 2019</t>
  </si>
  <si>
    <t xml:space="preserve">1065</t>
  </si>
  <si>
    <t xml:space="preserve">Kavan Cotton Private Limited</t>
  </si>
  <si>
    <t xml:space="preserve">19 Apr 2018</t>
  </si>
  <si>
    <t xml:space="preserve">1066</t>
  </si>
  <si>
    <t xml:space="preserve">Kaveri Cotex Private Limited</t>
  </si>
  <si>
    <t xml:space="preserve">1067</t>
  </si>
  <si>
    <t xml:space="preserve">Kay Bouvet Engineering Limited (Unit - I)</t>
  </si>
  <si>
    <t xml:space="preserve">25 Sep 2018</t>
  </si>
  <si>
    <t xml:space="preserve">1068</t>
  </si>
  <si>
    <t xml:space="preserve">Kay Jay Forgings Pvt.Ltd.</t>
  </si>
  <si>
    <t xml:space="preserve">01 Aug 2024</t>
  </si>
  <si>
    <t xml:space="preserve">1069</t>
  </si>
  <si>
    <t xml:space="preserve">Kaya Knits</t>
  </si>
  <si>
    <t xml:space="preserve">1070</t>
  </si>
  <si>
    <t xml:space="preserve">KB Autotech India Private Limited</t>
  </si>
  <si>
    <t xml:space="preserve">26 Mar 2025</t>
  </si>
  <si>
    <t xml:space="preserve">1071</t>
  </si>
  <si>
    <t xml:space="preserve">KBJ Jewel Industry India Private Limited</t>
  </si>
  <si>
    <t xml:space="preserve">1072</t>
  </si>
  <si>
    <t xml:space="preserve">KBK Biotech Private Limited</t>
  </si>
  <si>
    <t xml:space="preserve">07 Jan 2025</t>
  </si>
  <si>
    <t xml:space="preserve">1073</t>
  </si>
  <si>
    <t xml:space="preserve">KBK Chem Engineering Private Limited</t>
  </si>
  <si>
    <t xml:space="preserve">1074</t>
  </si>
  <si>
    <t xml:space="preserve">Kbr Agro Industries</t>
  </si>
  <si>
    <t xml:space="preserve">09 Mar 2018</t>
  </si>
  <si>
    <t xml:space="preserve">1075</t>
  </si>
  <si>
    <t xml:space="preserve">Kcvr Infra Projects Private Limited</t>
  </si>
  <si>
    <t xml:space="preserve">16 Nov 2021</t>
  </si>
  <si>
    <t xml:space="preserve">1076</t>
  </si>
  <si>
    <t xml:space="preserve">Kedar Metals Private Limited</t>
  </si>
  <si>
    <t xml:space="preserve">1077</t>
  </si>
  <si>
    <t xml:space="preserve">Kepl Engineering Private Limited</t>
  </si>
  <si>
    <t xml:space="preserve">1078</t>
  </si>
  <si>
    <t xml:space="preserve">Keshav Holiday Resort Private Limited</t>
  </si>
  <si>
    <t xml:space="preserve">22 Feb 2022</t>
  </si>
  <si>
    <t xml:space="preserve">1079</t>
  </si>
  <si>
    <t xml:space="preserve">KGS Sugar &amp; Infra Corporation Limited</t>
  </si>
  <si>
    <t xml:space="preserve">1080</t>
  </si>
  <si>
    <t xml:space="preserve">Khaitan Electronics</t>
  </si>
  <si>
    <t xml:space="preserve">1081</t>
  </si>
  <si>
    <t xml:space="preserve">Khandesh Roller Flour Mills Private Limited</t>
  </si>
  <si>
    <t xml:space="preserve">1082</t>
  </si>
  <si>
    <t xml:space="preserve">Khanna Industrial Pipes Private Limited</t>
  </si>
  <si>
    <t xml:space="preserve">17 Feb 2021</t>
  </si>
  <si>
    <t xml:space="preserve">1083</t>
  </si>
  <si>
    <t xml:space="preserve">Khatushyam Processors (P) Limited</t>
  </si>
  <si>
    <t xml:space="preserve">18 Jun 2021</t>
  </si>
  <si>
    <t xml:space="preserve">1084</t>
  </si>
  <si>
    <t xml:space="preserve">Khedut Cotex Pvt. Ltd.</t>
  </si>
  <si>
    <t xml:space="preserve">1085</t>
  </si>
  <si>
    <t xml:space="preserve">Khodal Cotton Processing Private Limited</t>
  </si>
  <si>
    <t xml:space="preserve">20 Dec 2017</t>
  </si>
  <si>
    <t xml:space="preserve">1086</t>
  </si>
  <si>
    <t xml:space="preserve">Khoday India Limited</t>
  </si>
  <si>
    <t xml:space="preserve">21 Apr 2023</t>
  </si>
  <si>
    <t xml:space="preserve">1087</t>
  </si>
  <si>
    <t xml:space="preserve">Khosla Agro Overseas</t>
  </si>
  <si>
    <t xml:space="preserve">1088</t>
  </si>
  <si>
    <t xml:space="preserve">Khosla Engineering Private Limited</t>
  </si>
  <si>
    <t xml:space="preserve">26 May 2022</t>
  </si>
  <si>
    <t xml:space="preserve">1089</t>
  </si>
  <si>
    <t xml:space="preserve">Khosla International</t>
  </si>
  <si>
    <t xml:space="preserve">21 Nov 2018</t>
  </si>
  <si>
    <t xml:space="preserve">1090</t>
  </si>
  <si>
    <t xml:space="preserve">Khudiram Cold Storage Private Limited</t>
  </si>
  <si>
    <t xml:space="preserve">1091</t>
  </si>
  <si>
    <t xml:space="preserve">Kiara Jewellery Pvt. Ltd.</t>
  </si>
  <si>
    <t xml:space="preserve">10 Jan 2018</t>
  </si>
  <si>
    <t xml:space="preserve">1092</t>
  </si>
  <si>
    <t xml:space="preserve">Kimiya Engineers Private Limited</t>
  </si>
  <si>
    <t xml:space="preserve">1093</t>
  </si>
  <si>
    <t xml:space="preserve">Kinetic Taigene Electrical Co. Pvt. Ltd.</t>
  </si>
  <si>
    <t xml:space="preserve">1094</t>
  </si>
  <si>
    <t xml:space="preserve">Kiratpur Ner Chowk Expressway Limited</t>
  </si>
  <si>
    <t xml:space="preserve">1095</t>
  </si>
  <si>
    <t xml:space="preserve">Kirtilal M. Shah</t>
  </si>
  <si>
    <t xml:space="preserve">1096</t>
  </si>
  <si>
    <t xml:space="preserve">Kish Exports Limited</t>
  </si>
  <si>
    <t xml:space="preserve">1097</t>
  </si>
  <si>
    <t xml:space="preserve">Kishan Gum Industries</t>
  </si>
  <si>
    <t xml:space="preserve">1098</t>
  </si>
  <si>
    <t xml:space="preserve">Kissan Poultry (India) Private Limited</t>
  </si>
  <si>
    <t xml:space="preserve">05 Jan 2018</t>
  </si>
  <si>
    <t xml:space="preserve">1099</t>
  </si>
  <si>
    <t xml:space="preserve">Kitturu Chennamma Poultry Farm</t>
  </si>
  <si>
    <t xml:space="preserve">1100</t>
  </si>
  <si>
    <t xml:space="preserve">KLM Infra</t>
  </si>
  <si>
    <t xml:space="preserve">1101</t>
  </si>
  <si>
    <t xml:space="preserve">Klr Industries Ltd.</t>
  </si>
  <si>
    <t xml:space="preserve">22 Jan 2018</t>
  </si>
  <si>
    <t xml:space="preserve">1102</t>
  </si>
  <si>
    <t xml:space="preserve">Km Toll Road Private Limited</t>
  </si>
  <si>
    <t xml:space="preserve">17 May 2018</t>
  </si>
  <si>
    <t xml:space="preserve">1103</t>
  </si>
  <si>
    <t xml:space="preserve">KMC Constructions Limited</t>
  </si>
  <si>
    <t xml:space="preserve">24 Mar 2023</t>
  </si>
  <si>
    <t xml:space="preserve">1104</t>
  </si>
  <si>
    <t xml:space="preserve">KMCT group of institutions</t>
  </si>
  <si>
    <t xml:space="preserve">1105</t>
  </si>
  <si>
    <t xml:space="preserve">KNK Nexgen Construction Pvt Ltd</t>
  </si>
  <si>
    <t xml:space="preserve">30 Jul 2018</t>
  </si>
  <si>
    <t xml:space="preserve">1106</t>
  </si>
  <si>
    <t xml:space="preserve">Kobe Suspension Company Private Limited</t>
  </si>
  <si>
    <t xml:space="preserve">1107</t>
  </si>
  <si>
    <t xml:space="preserve">Kohinoor Carpets</t>
  </si>
  <si>
    <t xml:space="preserve">1108</t>
  </si>
  <si>
    <t xml:space="preserve">Kohinoor Education Trust</t>
  </si>
  <si>
    <t xml:space="preserve">1109</t>
  </si>
  <si>
    <t xml:space="preserve">Kohinoor Hospitals Private Limited</t>
  </si>
  <si>
    <t xml:space="preserve">26 Jun 2020</t>
  </si>
  <si>
    <t xml:space="preserve">1110</t>
  </si>
  <si>
    <t xml:space="preserve">Kohinoor Speciality Foods India Private Limited</t>
  </si>
  <si>
    <t xml:space="preserve">30 Nov 2022</t>
  </si>
  <si>
    <t xml:space="preserve">1111</t>
  </si>
  <si>
    <t xml:space="preserve">Kolhar Canes Ltd</t>
  </si>
  <si>
    <t xml:space="preserve">1112</t>
  </si>
  <si>
    <t xml:space="preserve">Koneru Constructions Private Limited</t>
  </si>
  <si>
    <t xml:space="preserve">1113</t>
  </si>
  <si>
    <t xml:space="preserve">Korlam Kantakapalle Expressways Private Limited</t>
  </si>
  <si>
    <t xml:space="preserve">21 Mar 2024</t>
  </si>
  <si>
    <t xml:space="preserve">1114</t>
  </si>
  <si>
    <t xml:space="preserve">Kotadiya Reality</t>
  </si>
  <si>
    <t xml:space="preserve">983</t>
  </si>
  <si>
    <t xml:space="preserve">K-Pack Systems Private Limited</t>
  </si>
  <si>
    <t xml:space="preserve">1115</t>
  </si>
  <si>
    <t xml:space="preserve">Krano Minerals</t>
  </si>
  <si>
    <t xml:space="preserve">29 Jan 2025</t>
  </si>
  <si>
    <t xml:space="preserve">1116</t>
  </si>
  <si>
    <t xml:space="preserve">Kranthi Edifice Private Limited</t>
  </si>
  <si>
    <t xml:space="preserve">29 Aug 2018</t>
  </si>
  <si>
    <t xml:space="preserve">1117</t>
  </si>
  <si>
    <t xml:space="preserve">Kranti Cotton and Oil Industries</t>
  </si>
  <si>
    <t xml:space="preserve">1118</t>
  </si>
  <si>
    <t xml:space="preserve">Kredence Multi Trading Limited</t>
  </si>
  <si>
    <t xml:space="preserve">29 Jul 2020</t>
  </si>
  <si>
    <t xml:space="preserve">1119</t>
  </si>
  <si>
    <t xml:space="preserve">Krish Agro Farms Pvt. Ltd.</t>
  </si>
  <si>
    <t xml:space="preserve">27 Dec 2019</t>
  </si>
  <si>
    <t xml:space="preserve">1120</t>
  </si>
  <si>
    <t xml:space="preserve">Krishna Construction Co.</t>
  </si>
  <si>
    <t xml:space="preserve">20 Jan 2020</t>
  </si>
  <si>
    <t xml:space="preserve">1121</t>
  </si>
  <si>
    <t xml:space="preserve">Krishna Constructions</t>
  </si>
  <si>
    <t xml:space="preserve">1122</t>
  </si>
  <si>
    <t xml:space="preserve">Krishna Cottex Industries</t>
  </si>
  <si>
    <t xml:space="preserve">1123</t>
  </si>
  <si>
    <t xml:space="preserve">Krishna Cotton (Tankara)</t>
  </si>
  <si>
    <t xml:space="preserve">1124</t>
  </si>
  <si>
    <t xml:space="preserve">Krishna Gems</t>
  </si>
  <si>
    <t xml:space="preserve">01 Mar 2018</t>
  </si>
  <si>
    <t xml:space="preserve">1125</t>
  </si>
  <si>
    <t xml:space="preserve">Krishna Natural Fibre Private Limited</t>
  </si>
  <si>
    <t xml:space="preserve">1126</t>
  </si>
  <si>
    <t xml:space="preserve">Krishna Timber Company</t>
  </si>
  <si>
    <t xml:space="preserve">1127</t>
  </si>
  <si>
    <t xml:space="preserve">Krishna Transnational Marbles Private Limited</t>
  </si>
  <si>
    <t xml:space="preserve">1128</t>
  </si>
  <si>
    <t xml:space="preserve">Krishna Tuff Private Limited</t>
  </si>
  <si>
    <t xml:space="preserve">15 Mar 2018</t>
  </si>
  <si>
    <t xml:space="preserve">1129</t>
  </si>
  <si>
    <t xml:space="preserve">Krishnagiri District Co-Operative Milk Producers Union Limited</t>
  </si>
  <si>
    <t xml:space="preserve">27 Dec 2022</t>
  </si>
  <si>
    <t xml:space="preserve">1130</t>
  </si>
  <si>
    <t xml:space="preserve">Krishnaiah Motors Private Limited</t>
  </si>
  <si>
    <t xml:space="preserve">28 May 2020</t>
  </si>
  <si>
    <t xml:space="preserve">1131</t>
  </si>
  <si>
    <t xml:space="preserve">Krishnaveni Seeds And Fertilizers</t>
  </si>
  <si>
    <t xml:space="preserve">1132</t>
  </si>
  <si>
    <t xml:space="preserve">Krishnendu Bhakta</t>
  </si>
  <si>
    <t xml:space="preserve">1133</t>
  </si>
  <si>
    <t xml:space="preserve">Krn Alloys Private Limited</t>
  </si>
  <si>
    <t xml:space="preserve">1134</t>
  </si>
  <si>
    <t xml:space="preserve">Krushna Industries</t>
  </si>
  <si>
    <t xml:space="preserve">1135</t>
  </si>
  <si>
    <t xml:space="preserve">KS Softnet Solutions Private Limited</t>
  </si>
  <si>
    <t xml:space="preserve">1136</t>
  </si>
  <si>
    <t xml:space="preserve">KSC Educational Society</t>
  </si>
  <si>
    <t xml:space="preserve">18 Apr 2019</t>
  </si>
  <si>
    <t xml:space="preserve">1137</t>
  </si>
  <si>
    <t xml:space="preserve">KSDM Agro Industries Private Limited</t>
  </si>
  <si>
    <t xml:space="preserve">08 Jan 2025</t>
  </si>
  <si>
    <t xml:space="preserve">1138</t>
  </si>
  <si>
    <t xml:space="preserve">Kshitij Kumar Choudhary</t>
  </si>
  <si>
    <t xml:space="preserve">1139</t>
  </si>
  <si>
    <t xml:space="preserve">Kshitija Infrastructure Private Limited</t>
  </si>
  <si>
    <t xml:space="preserve">1140</t>
  </si>
  <si>
    <t xml:space="preserve">KSK Mahanadi Power Company Limited</t>
  </si>
  <si>
    <t xml:space="preserve">1141</t>
  </si>
  <si>
    <t xml:space="preserve">Ksk Mineral Resources Private Limited</t>
  </si>
  <si>
    <t xml:space="preserve">1142</t>
  </si>
  <si>
    <t xml:space="preserve">KSR Properties Private Limited</t>
  </si>
  <si>
    <t xml:space="preserve">1143</t>
  </si>
  <si>
    <t xml:space="preserve">KTC Foods Private Limited</t>
  </si>
  <si>
    <t xml:space="preserve">1144</t>
  </si>
  <si>
    <t xml:space="preserve">Kuldevi Cotton Industries</t>
  </si>
  <si>
    <t xml:space="preserve">15 Jul 2020</t>
  </si>
  <si>
    <t xml:space="preserve">1145</t>
  </si>
  <si>
    <t xml:space="preserve">Kulkarni &amp; Sahu Buildcon Private Limited</t>
  </si>
  <si>
    <t xml:space="preserve">1146</t>
  </si>
  <si>
    <t xml:space="preserve">Kurlon Enterprise Limited</t>
  </si>
  <si>
    <t xml:space="preserve">08 Jul 2024</t>
  </si>
  <si>
    <t xml:space="preserve">1147</t>
  </si>
  <si>
    <t xml:space="preserve">KVK Granites</t>
  </si>
  <si>
    <t xml:space="preserve">1148</t>
  </si>
  <si>
    <t xml:space="preserve">KVR Projects Private Limited</t>
  </si>
  <si>
    <t xml:space="preserve">1149</t>
  </si>
  <si>
    <t xml:space="preserve">Kwal Pro Exports</t>
  </si>
  <si>
    <t xml:space="preserve">1150</t>
  </si>
  <si>
    <t xml:space="preserve">Kwality Foundry Industries</t>
  </si>
  <si>
    <t xml:space="preserve">1151</t>
  </si>
  <si>
    <t xml:space="preserve">Kwality Pharmaceuticals Ltd.</t>
  </si>
  <si>
    <t xml:space="preserve">28 Aug 2023</t>
  </si>
  <si>
    <t xml:space="preserve">1152</t>
  </si>
  <si>
    <t xml:space="preserve">Kwality Township Pvt. Ltd.</t>
  </si>
  <si>
    <t xml:space="preserve">1153</t>
  </si>
  <si>
    <t xml:space="preserve">L&amp;T Chennai Tada Tollway Limited</t>
  </si>
  <si>
    <t xml:space="preserve">1154</t>
  </si>
  <si>
    <t xml:space="preserve">L.A. Hotels &amp; Retreats Private Limited</t>
  </si>
  <si>
    <t xml:space="preserve">1155</t>
  </si>
  <si>
    <t xml:space="preserve">L.C. Foods Limited</t>
  </si>
  <si>
    <t xml:space="preserve">1156</t>
  </si>
  <si>
    <t xml:space="preserve">L.M. Foods</t>
  </si>
  <si>
    <t xml:space="preserve">1157</t>
  </si>
  <si>
    <t xml:space="preserve">L.N. Malviya Infra Projects Pvt. Ltd.</t>
  </si>
  <si>
    <t xml:space="preserve">1158</t>
  </si>
  <si>
    <t xml:space="preserve">Laborate Pharmaceuticals India Limited</t>
  </si>
  <si>
    <t xml:space="preserve">24 Apr 2024</t>
  </si>
  <si>
    <t xml:space="preserve">1159</t>
  </si>
  <si>
    <t xml:space="preserve">Laguna Clothing Private Limited</t>
  </si>
  <si>
    <t xml:space="preserve">18 Mar 2025</t>
  </si>
  <si>
    <t xml:space="preserve">1160</t>
  </si>
  <si>
    <t xml:space="preserve">Laila Hotels and Resorts Pvt. Ltd.</t>
  </si>
  <si>
    <t xml:space="preserve">02 Apr 2024</t>
  </si>
  <si>
    <t xml:space="preserve">1161</t>
  </si>
  <si>
    <t xml:space="preserve">Lakhotia Transport Co. Pvt. Ltd.</t>
  </si>
  <si>
    <t xml:space="preserve">09 Sep 2021</t>
  </si>
  <si>
    <t xml:space="preserve">1162</t>
  </si>
  <si>
    <t xml:space="preserve">Lakshmanan Isola Pvt Ltd</t>
  </si>
  <si>
    <t xml:space="preserve">1163</t>
  </si>
  <si>
    <t xml:space="preserve">Lakshmi Balaji Oils Private Limited</t>
  </si>
  <si>
    <t xml:space="preserve">1164</t>
  </si>
  <si>
    <t xml:space="preserve">Lakshmi Ganapathi Rice Mill</t>
  </si>
  <si>
    <t xml:space="preserve">1165</t>
  </si>
  <si>
    <t xml:space="preserve">Lakshmidurga Textiles Private Limited</t>
  </si>
  <si>
    <t xml:space="preserve">1166</t>
  </si>
  <si>
    <t xml:space="preserve">Lakshminarasimha Warehousing</t>
  </si>
  <si>
    <t xml:space="preserve">26 Mar 2018</t>
  </si>
  <si>
    <t xml:space="preserve">1167</t>
  </si>
  <si>
    <t xml:space="preserve">Lakshya Dairy Private Limited</t>
  </si>
  <si>
    <t xml:space="preserve">1168</t>
  </si>
  <si>
    <t xml:space="preserve">Lalita Foamex Private Limited</t>
  </si>
  <si>
    <t xml:space="preserve">1169</t>
  </si>
  <si>
    <t xml:space="preserve">Lampex Electronics Limited</t>
  </si>
  <si>
    <t xml:space="preserve">1170</t>
  </si>
  <si>
    <t xml:space="preserve">Lanarsy Infra Limited</t>
  </si>
  <si>
    <t xml:space="preserve">09 Dec 2024</t>
  </si>
  <si>
    <t xml:space="preserve">1171</t>
  </si>
  <si>
    <t xml:space="preserve">Lanco Solar Energy Private Limited</t>
  </si>
  <si>
    <t xml:space="preserve">26 Jun 2018</t>
  </si>
  <si>
    <t xml:space="preserve">1172</t>
  </si>
  <si>
    <t xml:space="preserve">Lanco Solar Private Limited</t>
  </si>
  <si>
    <t xml:space="preserve">1173</t>
  </si>
  <si>
    <t xml:space="preserve">Landis+Gyr Limited</t>
  </si>
  <si>
    <t xml:space="preserve">20 Dec 2019</t>
  </si>
  <si>
    <t xml:space="preserve">1174</t>
  </si>
  <si>
    <t xml:space="preserve">Landmark Veneers Private Limited</t>
  </si>
  <si>
    <t xml:space="preserve">1175</t>
  </si>
  <si>
    <t xml:space="preserve">Lantech Pharmaceuticals Limited</t>
  </si>
  <si>
    <t xml:space="preserve">1176</t>
  </si>
  <si>
    <t xml:space="preserve">Lariya Art Palace Private Limited</t>
  </si>
  <si>
    <t xml:space="preserve">1177</t>
  </si>
  <si>
    <t xml:space="preserve">Lasco Lifestlye Limited</t>
  </si>
  <si>
    <t xml:space="preserve">27 Apr 2018</t>
  </si>
  <si>
    <t xml:space="preserve">1178</t>
  </si>
  <si>
    <t xml:space="preserve">Laser Fibers Private Limited</t>
  </si>
  <si>
    <t xml:space="preserve">1179</t>
  </si>
  <si>
    <t xml:space="preserve">Late Shri Vishnu Waman Thakur Charitable Trust</t>
  </si>
  <si>
    <t xml:space="preserve">09 Apr 2018</t>
  </si>
  <si>
    <t xml:space="preserve">1180</t>
  </si>
  <si>
    <t xml:space="preserve">Lavis Signature Panel Private Limited</t>
  </si>
  <si>
    <t xml:space="preserve">1181</t>
  </si>
  <si>
    <t xml:space="preserve">Laxmi Balaji Industries</t>
  </si>
  <si>
    <t xml:space="preserve">1182</t>
  </si>
  <si>
    <t xml:space="preserve">Laxmi Memorial Education Trust</t>
  </si>
  <si>
    <t xml:space="preserve">1183</t>
  </si>
  <si>
    <t xml:space="preserve">Laxmi Oil &amp; Vanaspati Private Limited</t>
  </si>
  <si>
    <t xml:space="preserve">1184</t>
  </si>
  <si>
    <t xml:space="preserve">Laxmi Rice Mills</t>
  </si>
  <si>
    <t xml:space="preserve">1185</t>
  </si>
  <si>
    <t xml:space="preserve">Laxmi Siddharth Transmissions LLP (Formerly known as Laxmi Transmissions)</t>
  </si>
  <si>
    <t xml:space="preserve">1186</t>
  </si>
  <si>
    <t xml:space="preserve">Laxminarayan Industries</t>
  </si>
  <si>
    <t xml:space="preserve">1187</t>
  </si>
  <si>
    <t xml:space="preserve">LB Cotton Industries LLP</t>
  </si>
  <si>
    <t xml:space="preserve">1188</t>
  </si>
  <si>
    <t xml:space="preserve">LE Marble Gallery Private Limited</t>
  </si>
  <si>
    <t xml:space="preserve">1189</t>
  </si>
  <si>
    <t xml:space="preserve">Legend Ceramic Private Limited</t>
  </si>
  <si>
    <t xml:space="preserve">1190</t>
  </si>
  <si>
    <t xml:space="preserve">Leisure Wear Exports Ltd.</t>
  </si>
  <si>
    <t xml:space="preserve">03 Dec 2018</t>
  </si>
  <si>
    <t xml:space="preserve">1191</t>
  </si>
  <si>
    <t xml:space="preserve">Lemosa Tiles Llp</t>
  </si>
  <si>
    <t xml:space="preserve">22 Jan 2020</t>
  </si>
  <si>
    <t xml:space="preserve">1192</t>
  </si>
  <si>
    <t xml:space="preserve">Lenora Vitrified LLP</t>
  </si>
  <si>
    <t xml:space="preserve">1193</t>
  </si>
  <si>
    <t xml:space="preserve">Lenz Ceramic Pvt. Ltd.</t>
  </si>
  <si>
    <t xml:space="preserve">1194</t>
  </si>
  <si>
    <t xml:space="preserve">Leonard Exports</t>
  </si>
  <si>
    <t xml:space="preserve">1195</t>
  </si>
  <si>
    <t xml:space="preserve">Lexus Granito (India) Limited</t>
  </si>
  <si>
    <t xml:space="preserve">02 Feb 2022</t>
  </si>
  <si>
    <t xml:space="preserve">1196</t>
  </si>
  <si>
    <t xml:space="preserve">Lila Dhar Devki Nandan</t>
  </si>
  <si>
    <t xml:space="preserve">1197</t>
  </si>
  <si>
    <t xml:space="preserve">Limbuguri Tea Estate Pvt. Ltd.</t>
  </si>
  <si>
    <t xml:space="preserve">1198</t>
  </si>
  <si>
    <t xml:space="preserve">Limtex Agri Udyog Limited</t>
  </si>
  <si>
    <t xml:space="preserve">1199</t>
  </si>
  <si>
    <t xml:space="preserve">Limtex India Limited</t>
  </si>
  <si>
    <t xml:space="preserve">15 May 2017</t>
  </si>
  <si>
    <t xml:space="preserve">1200</t>
  </si>
  <si>
    <t xml:space="preserve">Liners India Limited</t>
  </si>
  <si>
    <t xml:space="preserve">1201</t>
  </si>
  <si>
    <t xml:space="preserve">LMJ International Limited</t>
  </si>
  <si>
    <t xml:space="preserve">1202</t>
  </si>
  <si>
    <t xml:space="preserve">Lml Limited</t>
  </si>
  <si>
    <t xml:space="preserve">22 Feb 2018</t>
  </si>
  <si>
    <t xml:space="preserve">1203</t>
  </si>
  <si>
    <t xml:space="preserve">LOF Constructions</t>
  </si>
  <si>
    <t xml:space="preserve">1204</t>
  </si>
  <si>
    <t xml:space="preserve">Lohiya Developers</t>
  </si>
  <si>
    <t xml:space="preserve">1205</t>
  </si>
  <si>
    <t xml:space="preserve">Lok Enterprises</t>
  </si>
  <si>
    <t xml:space="preserve">1206</t>
  </si>
  <si>
    <t xml:space="preserve">Lot Mobiles Private Limited</t>
  </si>
  <si>
    <t xml:space="preserve">20 Feb 2017</t>
  </si>
  <si>
    <t xml:space="preserve">1207</t>
  </si>
  <si>
    <t xml:space="preserve">Lotus Overseas</t>
  </si>
  <si>
    <t xml:space="preserve">1208</t>
  </si>
  <si>
    <t xml:space="preserve">Lucknow Medical Agencies</t>
  </si>
  <si>
    <t xml:space="preserve">1209</t>
  </si>
  <si>
    <t xml:space="preserve">Lucknow Sitapur Expressways Limited</t>
  </si>
  <si>
    <t xml:space="preserve">1210</t>
  </si>
  <si>
    <t xml:space="preserve">Lucky Exports</t>
  </si>
  <si>
    <t xml:space="preserve">04 Apr 2018</t>
  </si>
  <si>
    <t xml:space="preserve">1211</t>
  </si>
  <si>
    <t xml:space="preserve">Lucky Steel Industries (Ship Breaking Division)</t>
  </si>
  <si>
    <t xml:space="preserve">1212</t>
  </si>
  <si>
    <t xml:space="preserve">Lycon Microns Llp</t>
  </si>
  <si>
    <t xml:space="preserve">1213</t>
  </si>
  <si>
    <t xml:space="preserve">Lypsa Gems and Jewellery Limited</t>
  </si>
  <si>
    <t xml:space="preserve">1214</t>
  </si>
  <si>
    <t xml:space="preserve">M B Ceramic LLP</t>
  </si>
  <si>
    <t xml:space="preserve">27 Aug 2021</t>
  </si>
  <si>
    <t xml:space="preserve">1215</t>
  </si>
  <si>
    <t xml:space="preserve">M Ganesh</t>
  </si>
  <si>
    <t xml:space="preserve">1216</t>
  </si>
  <si>
    <t xml:space="preserve">M K Roy &amp; Bros Projects Private Limited</t>
  </si>
  <si>
    <t xml:space="preserve">1217</t>
  </si>
  <si>
    <t xml:space="preserve">M L Rice Mills</t>
  </si>
  <si>
    <t xml:space="preserve">1218</t>
  </si>
  <si>
    <t xml:space="preserve">M S Ramaiah Foundation</t>
  </si>
  <si>
    <t xml:space="preserve">1219</t>
  </si>
  <si>
    <t xml:space="preserve">M V Agro Renewable Energy Pvt. Ltd.</t>
  </si>
  <si>
    <t xml:space="preserve">1220</t>
  </si>
  <si>
    <t xml:space="preserve">M V Shiptrade Private Limited</t>
  </si>
  <si>
    <t xml:space="preserve">15 Mar 2021</t>
  </si>
  <si>
    <t xml:space="preserve">1221</t>
  </si>
  <si>
    <t xml:space="preserve">M Venkatachalapathi</t>
  </si>
  <si>
    <t xml:space="preserve">23 Nov 2022</t>
  </si>
  <si>
    <t xml:space="preserve">1222</t>
  </si>
  <si>
    <t xml:space="preserve">M.D. Frozen Food Exports</t>
  </si>
  <si>
    <t xml:space="preserve">1223</t>
  </si>
  <si>
    <t xml:space="preserve">M.D. Frozen Food Exports Private Limited</t>
  </si>
  <si>
    <t xml:space="preserve">1224</t>
  </si>
  <si>
    <t xml:space="preserve">M.G. Brothers Industries Private Limited</t>
  </si>
  <si>
    <t xml:space="preserve">1225</t>
  </si>
  <si>
    <t xml:space="preserve">M.K. Aggarwal Hosiery (P) Limited</t>
  </si>
  <si>
    <t xml:space="preserve">1226</t>
  </si>
  <si>
    <t xml:space="preserve">M.K. Wood India Private Limited</t>
  </si>
  <si>
    <t xml:space="preserve">1227</t>
  </si>
  <si>
    <t xml:space="preserve">M.M. Brothers</t>
  </si>
  <si>
    <t xml:space="preserve">03 Feb 2017</t>
  </si>
  <si>
    <t xml:space="preserve">1228</t>
  </si>
  <si>
    <t xml:space="preserve">M.M. Ispat Pvt Ltd</t>
  </si>
  <si>
    <t xml:space="preserve">1229</t>
  </si>
  <si>
    <t xml:space="preserve">M.S. Life Drug House Private Limited</t>
  </si>
  <si>
    <t xml:space="preserve">10 Nov 2021</t>
  </si>
  <si>
    <t xml:space="preserve">1230</t>
  </si>
  <si>
    <t xml:space="preserve">M/s Jagatpal Singh</t>
  </si>
  <si>
    <t xml:space="preserve">1231</t>
  </si>
  <si>
    <t xml:space="preserve">M/s Karun Rice &amp; General Mills</t>
  </si>
  <si>
    <t xml:space="preserve">1232</t>
  </si>
  <si>
    <t xml:space="preserve">M/S Kirpa Rice Mills</t>
  </si>
  <si>
    <t xml:space="preserve">1233</t>
  </si>
  <si>
    <t xml:space="preserve">M/s Quadros Motors Pvt. Ltd.</t>
  </si>
  <si>
    <t xml:space="preserve">1234</t>
  </si>
  <si>
    <t xml:space="preserve">M/S Shiv Dal Mill</t>
  </si>
  <si>
    <t xml:space="preserve">1235</t>
  </si>
  <si>
    <t xml:space="preserve">M/s. Ardhendu Mondal</t>
  </si>
  <si>
    <t xml:space="preserve">27 Jun 2017</t>
  </si>
  <si>
    <t xml:space="preserve">1236</t>
  </si>
  <si>
    <t xml:space="preserve">M/s. Ashutosh Bandyopadhayay</t>
  </si>
  <si>
    <t xml:space="preserve">1237</t>
  </si>
  <si>
    <t xml:space="preserve">M/S. M. S. Engineering</t>
  </si>
  <si>
    <t xml:space="preserve">1238</t>
  </si>
  <si>
    <t xml:space="preserve">M/S. M.D.Agro Foods</t>
  </si>
  <si>
    <t xml:space="preserve">1239</t>
  </si>
  <si>
    <t xml:space="preserve">M/S. Pankaj C. Patel</t>
  </si>
  <si>
    <t xml:space="preserve">1240</t>
  </si>
  <si>
    <t xml:space="preserve">M/s. Radhanath Bhunia &amp; Sons</t>
  </si>
  <si>
    <t xml:space="preserve">20 Aug 2020</t>
  </si>
  <si>
    <t xml:space="preserve">1241</t>
  </si>
  <si>
    <t xml:space="preserve">Ma Sarada Cold Storage Private Limited</t>
  </si>
  <si>
    <t xml:space="preserve">1242</t>
  </si>
  <si>
    <t xml:space="preserve">Maa Bameswari Cold Storage Private Limited</t>
  </si>
  <si>
    <t xml:space="preserve">1243</t>
  </si>
  <si>
    <t xml:space="preserve">Maa Gauri Poultry Private Limited</t>
  </si>
  <si>
    <t xml:space="preserve">24 Dec 2018</t>
  </si>
  <si>
    <t xml:space="preserve">1244</t>
  </si>
  <si>
    <t xml:space="preserve">Maa Sheetla Industries Private Limited</t>
  </si>
  <si>
    <t xml:space="preserve">1245</t>
  </si>
  <si>
    <t xml:space="preserve">Maa Shitala Agro Private Limited</t>
  </si>
  <si>
    <t xml:space="preserve">29 Oct 2018</t>
  </si>
  <si>
    <t xml:space="preserve">1246</t>
  </si>
  <si>
    <t xml:space="preserve">Maa Vaishno Edibles Private Limited</t>
  </si>
  <si>
    <t xml:space="preserve">18 Jun 2018</t>
  </si>
  <si>
    <t xml:space="preserve">1247</t>
  </si>
  <si>
    <t xml:space="preserve">Maberest Hotels Private Limited</t>
  </si>
  <si>
    <t xml:space="preserve">1248</t>
  </si>
  <si>
    <t xml:space="preserve">Machilipatnam Municipality</t>
  </si>
  <si>
    <t xml:space="preserve">1249</t>
  </si>
  <si>
    <t xml:space="preserve">Mackintosh Burn Limited</t>
  </si>
  <si>
    <t xml:space="preserve">23 Aug 2024</t>
  </si>
  <si>
    <t xml:space="preserve">1250</t>
  </si>
  <si>
    <t xml:space="preserve">Mad Studios Private Limited</t>
  </si>
  <si>
    <t xml:space="preserve">24 Jan 2018</t>
  </si>
  <si>
    <t xml:space="preserve">1251</t>
  </si>
  <si>
    <t xml:space="preserve">Madhabganj Karunamoyee Himghar Pvt Ltd</t>
  </si>
  <si>
    <t xml:space="preserve">1252</t>
  </si>
  <si>
    <t xml:space="preserve">Madhava Hytech Infrastructures (India) Private Limited</t>
  </si>
  <si>
    <t xml:space="preserve">1253</t>
  </si>
  <si>
    <t xml:space="preserve">Madhucon Projects Limited</t>
  </si>
  <si>
    <t xml:space="preserve">1254</t>
  </si>
  <si>
    <t xml:space="preserve">Madhucon Sugar And Power Industries Limited</t>
  </si>
  <si>
    <t xml:space="preserve">1255</t>
  </si>
  <si>
    <t xml:space="preserve">Madhur Engineers Private Limited</t>
  </si>
  <si>
    <t xml:space="preserve">1256</t>
  </si>
  <si>
    <t xml:space="preserve">Madhusudan Garai</t>
  </si>
  <si>
    <t xml:space="preserve">04 Feb 2021</t>
  </si>
  <si>
    <t xml:space="preserve">1257</t>
  </si>
  <si>
    <t xml:space="preserve">Madhuvan Cotton Private Limited</t>
  </si>
  <si>
    <t xml:space="preserve">1258</t>
  </si>
  <si>
    <t xml:space="preserve">Madhuvan Prasad Infra Private Limited</t>
  </si>
  <si>
    <t xml:space="preserve">1259</t>
  </si>
  <si>
    <t xml:space="preserve">Madurai Tuticorin Expressways Limited</t>
  </si>
  <si>
    <t xml:space="preserve">1260</t>
  </si>
  <si>
    <t xml:space="preserve">MAG India Industrial Automation Systems Private Limited</t>
  </si>
  <si>
    <t xml:space="preserve">1261</t>
  </si>
  <si>
    <t xml:space="preserve">Magadh Precision Equipment Limited</t>
  </si>
  <si>
    <t xml:space="preserve">23 May 2018</t>
  </si>
  <si>
    <t xml:space="preserve">1262</t>
  </si>
  <si>
    <t xml:space="preserve">Magma Autolinks Private Limited</t>
  </si>
  <si>
    <t xml:space="preserve">07 Jun 2017</t>
  </si>
  <si>
    <t xml:space="preserve">1263</t>
  </si>
  <si>
    <t xml:space="preserve">Magna Projects Private Limited</t>
  </si>
  <si>
    <t xml:space="preserve">1264</t>
  </si>
  <si>
    <t xml:space="preserve">Magnasoft Consulting India Private Limited</t>
  </si>
  <si>
    <t xml:space="preserve">18 Sep 2019</t>
  </si>
  <si>
    <t xml:space="preserve">1265</t>
  </si>
  <si>
    <t xml:space="preserve">Magnolia Martinique Clothing Private Limited</t>
  </si>
  <si>
    <t xml:space="preserve">1266</t>
  </si>
  <si>
    <t xml:space="preserve">Magppie Exports Private Limited</t>
  </si>
  <si>
    <t xml:space="preserve">1267</t>
  </si>
  <si>
    <t xml:space="preserve">Magus Metals Private Limited</t>
  </si>
  <si>
    <t xml:space="preserve">1268</t>
  </si>
  <si>
    <t xml:space="preserve">Maha Durga Charitable Trust</t>
  </si>
  <si>
    <t xml:space="preserve">29 Sep 2022</t>
  </si>
  <si>
    <t xml:space="preserve">1269</t>
  </si>
  <si>
    <t xml:space="preserve">Maha Sai Laboratories</t>
  </si>
  <si>
    <t xml:space="preserve">1270</t>
  </si>
  <si>
    <t xml:space="preserve">Mahabubnagar Municipality</t>
  </si>
  <si>
    <t xml:space="preserve">1271</t>
  </si>
  <si>
    <t xml:space="preserve">Mahadev Industries</t>
  </si>
  <si>
    <t xml:space="preserve">1272</t>
  </si>
  <si>
    <t xml:space="preserve">Mahadev Weaving Industries Llp</t>
  </si>
  <si>
    <t xml:space="preserve">1273</t>
  </si>
  <si>
    <t xml:space="preserve">Mahakaleshwar Tollways Private Limited</t>
  </si>
  <si>
    <t xml:space="preserve">1274</t>
  </si>
  <si>
    <t xml:space="preserve">Mahalakshmi Leasing Limited</t>
  </si>
  <si>
    <t xml:space="preserve">31 Mar 2021</t>
  </si>
  <si>
    <t xml:space="preserve">1275</t>
  </si>
  <si>
    <t xml:space="preserve">Mahalaxmi Associates Pvt. Ltd.</t>
  </si>
  <si>
    <t xml:space="preserve">11 Sep 2017</t>
  </si>
  <si>
    <t xml:space="preserve">1276</t>
  </si>
  <si>
    <t xml:space="preserve">Mahalaxmi Buildwell Enterprises Private Limited</t>
  </si>
  <si>
    <t xml:space="preserve">06 Apr 2017</t>
  </si>
  <si>
    <t xml:space="preserve">1277</t>
  </si>
  <si>
    <t xml:space="preserve">Mahalaxmi Cashew Industries</t>
  </si>
  <si>
    <t xml:space="preserve">1278</t>
  </si>
  <si>
    <t xml:space="preserve">Mahalaxmi Cotton</t>
  </si>
  <si>
    <t xml:space="preserve">1279</t>
  </si>
  <si>
    <t xml:space="preserve">Mahalaxmi India Pvt. Ltd.</t>
  </si>
  <si>
    <t xml:space="preserve">1280</t>
  </si>
  <si>
    <t xml:space="preserve">Mahalaxmi Technocast Limited</t>
  </si>
  <si>
    <t xml:space="preserve">1281</t>
  </si>
  <si>
    <t xml:space="preserve">Mahamaya Cashew Industries</t>
  </si>
  <si>
    <t xml:space="preserve">31 Mar 2020</t>
  </si>
  <si>
    <t xml:space="preserve">1282</t>
  </si>
  <si>
    <t xml:space="preserve">Mahamaya Steel Industries Limited</t>
  </si>
  <si>
    <t xml:space="preserve">1283</t>
  </si>
  <si>
    <t xml:space="preserve">Mahan Plastics Private Limited</t>
  </si>
  <si>
    <t xml:space="preserve">1284</t>
  </si>
  <si>
    <t xml:space="preserve">Maharaja Sathyam Industries Private Limited</t>
  </si>
  <si>
    <t xml:space="preserve">1285</t>
  </si>
  <si>
    <t xml:space="preserve">Mahavir Ship Breakers</t>
  </si>
  <si>
    <t xml:space="preserve">18 Feb 2022</t>
  </si>
  <si>
    <t xml:space="preserve">1286</t>
  </si>
  <si>
    <t xml:space="preserve">Mahesh Agri Exim Private Limited</t>
  </si>
  <si>
    <t xml:space="preserve">1287</t>
  </si>
  <si>
    <t xml:space="preserve">Mahesh Electrical &amp; Telecom</t>
  </si>
  <si>
    <t xml:space="preserve">1288</t>
  </si>
  <si>
    <t xml:space="preserve">Mahesh Ginning Private Limited</t>
  </si>
  <si>
    <t xml:space="preserve">1289</t>
  </si>
  <si>
    <t xml:space="preserve">Mahesh Hardware &amp; Pipes Pvt Ltd</t>
  </si>
  <si>
    <t xml:space="preserve">1290</t>
  </si>
  <si>
    <t xml:space="preserve">Mahesh Lumber Private Limited</t>
  </si>
  <si>
    <t xml:space="preserve">13 Aug 2018</t>
  </si>
  <si>
    <t xml:space="preserve">1291</t>
  </si>
  <si>
    <t xml:space="preserve">Mahesh Mercandise Private Limited</t>
  </si>
  <si>
    <t xml:space="preserve">1292</t>
  </si>
  <si>
    <t xml:space="preserve">Mahesh Rice Mill</t>
  </si>
  <si>
    <t xml:space="preserve">1293</t>
  </si>
  <si>
    <t xml:space="preserve">Maheshwari Coal Benefication &amp; Infrastructure Private Limited</t>
  </si>
  <si>
    <t xml:space="preserve">1294</t>
  </si>
  <si>
    <t xml:space="preserve">Maheshwari Structures</t>
  </si>
  <si>
    <t xml:space="preserve">1295</t>
  </si>
  <si>
    <t xml:space="preserve">Mahi Corporation Pvt. Ltd.</t>
  </si>
  <si>
    <t xml:space="preserve">24 Nov 2017</t>
  </si>
  <si>
    <t xml:space="preserve">1296</t>
  </si>
  <si>
    <t xml:space="preserve">Mahi Formaline</t>
  </si>
  <si>
    <t xml:space="preserve">1297</t>
  </si>
  <si>
    <t xml:space="preserve">Mahima Cold Storage Private Limited</t>
  </si>
  <si>
    <t xml:space="preserve">1298</t>
  </si>
  <si>
    <t xml:space="preserve">Mail Order Solutions (India) Private Limited</t>
  </si>
  <si>
    <t xml:space="preserve">25 Feb 2019</t>
  </si>
  <si>
    <t xml:space="preserve">1299</t>
  </si>
  <si>
    <t xml:space="preserve">Maini Group of Educational Society</t>
  </si>
  <si>
    <t xml:space="preserve">1300</t>
  </si>
  <si>
    <t xml:space="preserve">Maithan Ispat Limited</t>
  </si>
  <si>
    <t xml:space="preserve">1301</t>
  </si>
  <si>
    <t xml:space="preserve">Maithri Developers</t>
  </si>
  <si>
    <t xml:space="preserve">1302</t>
  </si>
  <si>
    <t xml:space="preserve">MAK Constructions</t>
  </si>
  <si>
    <t xml:space="preserve">1303</t>
  </si>
  <si>
    <t xml:space="preserve">Malankara Plantations Limited</t>
  </si>
  <si>
    <t xml:space="preserve">1304</t>
  </si>
  <si>
    <t xml:space="preserve">Malar Paper Mills Private Limited</t>
  </si>
  <si>
    <t xml:space="preserve">1305</t>
  </si>
  <si>
    <t xml:space="preserve">Malati Founders Private Limited</t>
  </si>
  <si>
    <t xml:space="preserve">1306</t>
  </si>
  <si>
    <t xml:space="preserve">Malhati Tea &amp; Industries Limited</t>
  </si>
  <si>
    <t xml:space="preserve">1307</t>
  </si>
  <si>
    <t xml:space="preserve">Malik Motors Private Limited</t>
  </si>
  <si>
    <t xml:space="preserve">1308</t>
  </si>
  <si>
    <t xml:space="preserve">Mallikarjuna Parboiled Binny Rice Mill</t>
  </si>
  <si>
    <t xml:space="preserve">1309</t>
  </si>
  <si>
    <t xml:space="preserve">Malwa Automobiles Private Limited</t>
  </si>
  <si>
    <t xml:space="preserve">28 Dec 2022</t>
  </si>
  <si>
    <t xml:space="preserve">1310</t>
  </si>
  <si>
    <t xml:space="preserve">Malwa Automotives Pvt. Ltd.</t>
  </si>
  <si>
    <t xml:space="preserve">1311</t>
  </si>
  <si>
    <t xml:space="preserve">Mamta Transformers P Ltd</t>
  </si>
  <si>
    <t xml:space="preserve">1312</t>
  </si>
  <si>
    <t xml:space="preserve">Mandalia Overseas Corporation</t>
  </si>
  <si>
    <t xml:space="preserve">1313</t>
  </si>
  <si>
    <t xml:space="preserve">Mandar Roller Flour Mills Pvt Ltd</t>
  </si>
  <si>
    <t xml:space="preserve">1314</t>
  </si>
  <si>
    <t xml:space="preserve">Mandeep Industries</t>
  </si>
  <si>
    <t xml:space="preserve">1315</t>
  </si>
  <si>
    <t xml:space="preserve">Mangal Sponge And Steel Private Limited</t>
  </si>
  <si>
    <t xml:space="preserve">1316</t>
  </si>
  <si>
    <t xml:space="preserve">Mangalam Metals &amp; Ores Limited</t>
  </si>
  <si>
    <t xml:space="preserve">1317</t>
  </si>
  <si>
    <t xml:space="preserve">Mangalam Pipes Pvt Ltd</t>
  </si>
  <si>
    <t xml:space="preserve">1318</t>
  </si>
  <si>
    <t xml:space="preserve">Mangalam Rice Mill Pvt Ltd</t>
  </si>
  <si>
    <t xml:space="preserve">1319</t>
  </si>
  <si>
    <t xml:space="preserve">Mangaldeep Cold Storage</t>
  </si>
  <si>
    <t xml:space="preserve">1320</t>
  </si>
  <si>
    <t xml:space="preserve">Mangalmurti Bio-Chem Private Limited</t>
  </si>
  <si>
    <t xml:space="preserve">04 Sep 2017</t>
  </si>
  <si>
    <t xml:space="preserve">1321</t>
  </si>
  <si>
    <t xml:space="preserve">Mangalore Cashew Industries</t>
  </si>
  <si>
    <t xml:space="preserve">1322</t>
  </si>
  <si>
    <t xml:space="preserve">Mangalore Sea Products</t>
  </si>
  <si>
    <t xml:space="preserve">27 Jun 2019</t>
  </si>
  <si>
    <t xml:space="preserve">1323</t>
  </si>
  <si>
    <t xml:space="preserve">Mangilal Agarwal</t>
  </si>
  <si>
    <t xml:space="preserve">1324</t>
  </si>
  <si>
    <t xml:space="preserve">Manickbag Automobiles Pvt Ltd</t>
  </si>
  <si>
    <t xml:space="preserve">1325</t>
  </si>
  <si>
    <t xml:space="preserve">Manikanta Cotton Agro Industries</t>
  </si>
  <si>
    <t xml:space="preserve">1326</t>
  </si>
  <si>
    <t xml:space="preserve">Manipal Academic Services International</t>
  </si>
  <si>
    <t xml:space="preserve">28 Jun 2024</t>
  </si>
  <si>
    <t xml:space="preserve">1327</t>
  </si>
  <si>
    <t xml:space="preserve">Manisha Construction Co.</t>
  </si>
  <si>
    <t xml:space="preserve">07 Dec 2017</t>
  </si>
  <si>
    <t xml:space="preserve">1328</t>
  </si>
  <si>
    <t xml:space="preserve">Manishri Refractories &amp; Ceramics Pvt. Ltd.</t>
  </si>
  <si>
    <t xml:space="preserve">17 Jul 2017</t>
  </si>
  <si>
    <t xml:space="preserve">1329</t>
  </si>
  <si>
    <t xml:space="preserve">Manju Shree Syntex Private Limited</t>
  </si>
  <si>
    <t xml:space="preserve">1330</t>
  </si>
  <si>
    <t xml:space="preserve">Manmatha Nath Kundu &amp; Sons Construction Co. Pvt. Ltd.</t>
  </si>
  <si>
    <t xml:space="preserve">1331</t>
  </si>
  <si>
    <t xml:space="preserve">Manmeet Alloys Private Limited</t>
  </si>
  <si>
    <t xml:space="preserve">1332</t>
  </si>
  <si>
    <t xml:space="preserve">Mann Mediciti Wellness Centre Private Limited</t>
  </si>
  <si>
    <t xml:space="preserve">1333</t>
  </si>
  <si>
    <t xml:space="preserve">Mansa Devi Rice Mills</t>
  </si>
  <si>
    <t xml:space="preserve">1334</t>
  </si>
  <si>
    <t xml:space="preserve">Mantra Packaging Private Limited</t>
  </si>
  <si>
    <t xml:space="preserve">05 Jun 2017</t>
  </si>
  <si>
    <t xml:space="preserve">1335</t>
  </si>
  <si>
    <t xml:space="preserve">Manubhai Mangaldas Securities Pvt Ltd</t>
  </si>
  <si>
    <t xml:space="preserve">29 Aug 2024</t>
  </si>
  <si>
    <t xml:space="preserve">1336</t>
  </si>
  <si>
    <t xml:space="preserve">Marbilano Tiles Llp</t>
  </si>
  <si>
    <t xml:space="preserve">1337</t>
  </si>
  <si>
    <t xml:space="preserve">Marc Laboratories Limited</t>
  </si>
  <si>
    <t xml:space="preserve">1338</t>
  </si>
  <si>
    <t xml:space="preserve">Marian Projects Private Limited</t>
  </si>
  <si>
    <t xml:space="preserve">1339</t>
  </si>
  <si>
    <t xml:space="preserve">Marianella Properties Private Limited</t>
  </si>
  <si>
    <t xml:space="preserve">1340</t>
  </si>
  <si>
    <t xml:space="preserve">Marigold Paints Pvt. Ltd.</t>
  </si>
  <si>
    <t xml:space="preserve">1341</t>
  </si>
  <si>
    <t xml:space="preserve">Marinelines Ship Breakers Private Limited</t>
  </si>
  <si>
    <t xml:space="preserve">1342</t>
  </si>
  <si>
    <t xml:space="preserve">Marks Engineering Works</t>
  </si>
  <si>
    <t xml:space="preserve">1343</t>
  </si>
  <si>
    <t xml:space="preserve">Marudhara Polypack Private Limited</t>
  </si>
  <si>
    <t xml:space="preserve">1344</t>
  </si>
  <si>
    <t xml:space="preserve">Maruti Cotton Industries</t>
  </si>
  <si>
    <t xml:space="preserve">1345</t>
  </si>
  <si>
    <t xml:space="preserve">Maruti Meditech Private Limited</t>
  </si>
  <si>
    <t xml:space="preserve">1346</t>
  </si>
  <si>
    <t xml:space="preserve">Maruti Nouveauknits Private Limited</t>
  </si>
  <si>
    <t xml:space="preserve">1347</t>
  </si>
  <si>
    <t xml:space="preserve">Maruti Products Private Limited</t>
  </si>
  <si>
    <t xml:space="preserve">1348</t>
  </si>
  <si>
    <t xml:space="preserve">Marvel Dyers and Processors Private Limited</t>
  </si>
  <si>
    <t xml:space="preserve">1349</t>
  </si>
  <si>
    <t xml:space="preserve">Mass Cashews</t>
  </si>
  <si>
    <t xml:space="preserve">1350</t>
  </si>
  <si>
    <t xml:space="preserve">Master Blenders Private Limited</t>
  </si>
  <si>
    <t xml:space="preserve">31 May 2019</t>
  </si>
  <si>
    <t xml:space="preserve">1351</t>
  </si>
  <si>
    <t xml:space="preserve">Mateshwari Food Stuff Private Limited</t>
  </si>
  <si>
    <t xml:space="preserve">1352</t>
  </si>
  <si>
    <t xml:space="preserve">Mateswari Royalties</t>
  </si>
  <si>
    <t xml:space="preserve">05 Apr 2018</t>
  </si>
  <si>
    <t xml:space="preserve">1353</t>
  </si>
  <si>
    <t xml:space="preserve">Mathiyan Construction Private Limited</t>
  </si>
  <si>
    <t xml:space="preserve">1354</t>
  </si>
  <si>
    <t xml:space="preserve">Mathuram Swastha Evam Shikshan Sansthan</t>
  </si>
  <si>
    <t xml:space="preserve">1355</t>
  </si>
  <si>
    <t xml:space="preserve">Matoshri Laxmi Sugar Co-Generation Industries Limited</t>
  </si>
  <si>
    <t xml:space="preserve">1356</t>
  </si>
  <si>
    <t xml:space="preserve">Matrix Ceramic</t>
  </si>
  <si>
    <t xml:space="preserve">1357</t>
  </si>
  <si>
    <t xml:space="preserve">Matrix Enclaves Projects Developments Private Limited</t>
  </si>
  <si>
    <t xml:space="preserve">1358</t>
  </si>
  <si>
    <t xml:space="preserve">Mauli Fresh Agro Industries Private Limited</t>
  </si>
  <si>
    <t xml:space="preserve">1359</t>
  </si>
  <si>
    <t xml:space="preserve">Mavani Construction</t>
  </si>
  <si>
    <t xml:space="preserve">12 Sep 2024</t>
  </si>
  <si>
    <t xml:space="preserve">1360</t>
  </si>
  <si>
    <t xml:space="preserve">Max Properties Private Limited</t>
  </si>
  <si>
    <t xml:space="preserve">1361</t>
  </si>
  <si>
    <t xml:space="preserve">Maxworth Plywoods Private Limited</t>
  </si>
  <si>
    <t xml:space="preserve">1362</t>
  </si>
  <si>
    <t xml:space="preserve">Mbc Infra-Space Pvt. Ltd.</t>
  </si>
  <si>
    <t xml:space="preserve">16 Feb 2018</t>
  </si>
  <si>
    <t xml:space="preserve">1363</t>
  </si>
  <si>
    <t xml:space="preserve">MBM ENGINEERING INFOTECH LIMITED</t>
  </si>
  <si>
    <t xml:space="preserve">1364</t>
  </si>
  <si>
    <t xml:space="preserve">Mbr Flexibles Limited</t>
  </si>
  <si>
    <t xml:space="preserve">1365</t>
  </si>
  <si>
    <t xml:space="preserve">Mcleod Russel India Limited</t>
  </si>
  <si>
    <t xml:space="preserve">1366</t>
  </si>
  <si>
    <t xml:space="preserve">MCON Rasayan Private Limited</t>
  </si>
  <si>
    <t xml:space="preserve">1367</t>
  </si>
  <si>
    <t xml:space="preserve">MDA Mineral Dhatu (AP) Private Limited</t>
  </si>
  <si>
    <t xml:space="preserve">1368</t>
  </si>
  <si>
    <t xml:space="preserve">Mear Logistics LLP</t>
  </si>
  <si>
    <t xml:space="preserve">1369</t>
  </si>
  <si>
    <t xml:space="preserve">Meena Advertisers</t>
  </si>
  <si>
    <t xml:space="preserve">1370</t>
  </si>
  <si>
    <t xml:space="preserve">Meenamani Real Venture Llp</t>
  </si>
  <si>
    <t xml:space="preserve">1371</t>
  </si>
  <si>
    <t xml:space="preserve">Meenar Industries Limited</t>
  </si>
  <si>
    <t xml:space="preserve">1372</t>
  </si>
  <si>
    <t xml:space="preserve">Meenar Polydyed Yarns Limited</t>
  </si>
  <si>
    <t xml:space="preserve">1373</t>
  </si>
  <si>
    <t xml:space="preserve">Meenaxi Exports</t>
  </si>
  <si>
    <t xml:space="preserve">1374</t>
  </si>
  <si>
    <t xml:space="preserve">Meera and Company Limited</t>
  </si>
  <si>
    <t xml:space="preserve">1375</t>
  </si>
  <si>
    <t xml:space="preserve">Meera Casting</t>
  </si>
  <si>
    <t xml:space="preserve">1376</t>
  </si>
  <si>
    <t xml:space="preserve">Meerpet Municipal Corporation</t>
  </si>
  <si>
    <t xml:space="preserve">1377</t>
  </si>
  <si>
    <t xml:space="preserve">Megha Marketing</t>
  </si>
  <si>
    <t xml:space="preserve">23 Jan 2017</t>
  </si>
  <si>
    <t xml:space="preserve">1378</t>
  </si>
  <si>
    <t xml:space="preserve">Meghdoot Ginning &amp; Pressing Industries Private Limited</t>
  </si>
  <si>
    <t xml:space="preserve">1379</t>
  </si>
  <si>
    <t xml:space="preserve">Meghnad Saha Institute of Technology</t>
  </si>
  <si>
    <t xml:space="preserve">1380</t>
  </si>
  <si>
    <t xml:space="preserve">Meh India Overseas Private Limited</t>
  </si>
  <si>
    <t xml:space="preserve">22 Mar 2018</t>
  </si>
  <si>
    <t xml:space="preserve">1381</t>
  </si>
  <si>
    <t xml:space="preserve">Mehta &amp; Associates Fire Protection Systems Private Limited</t>
  </si>
  <si>
    <t xml:space="preserve">1382</t>
  </si>
  <si>
    <t xml:space="preserve">Mehta Brothers Gems Private Limited</t>
  </si>
  <si>
    <t xml:space="preserve">22 Jun 2017</t>
  </si>
  <si>
    <t xml:space="preserve">1383</t>
  </si>
  <si>
    <t xml:space="preserve">Melange Developers</t>
  </si>
  <si>
    <t xml:space="preserve">1384</t>
  </si>
  <si>
    <t xml:space="preserve">Memon Health Care Private Limited</t>
  </si>
  <si>
    <t xml:space="preserve">1385</t>
  </si>
  <si>
    <t xml:space="preserve">Mep Sanjose Arawali Kante Road Private Limited</t>
  </si>
  <si>
    <t xml:space="preserve">1386</t>
  </si>
  <si>
    <t xml:space="preserve">Mep Sanjose Kante Waked Road Private Limited</t>
  </si>
  <si>
    <t xml:space="preserve">1387</t>
  </si>
  <si>
    <t xml:space="preserve">Merit Technologies India Limited</t>
  </si>
  <si>
    <t xml:space="preserve">1388</t>
  </si>
  <si>
    <t xml:space="preserve">Meru Industries LLP (erstwhile Meru industries)</t>
  </si>
  <si>
    <t xml:space="preserve">16 Nov 2022</t>
  </si>
  <si>
    <t xml:space="preserve">1389</t>
  </si>
  <si>
    <t xml:space="preserve">Metawood Display System</t>
  </si>
  <si>
    <t xml:space="preserve">25 Oct 2017</t>
  </si>
  <si>
    <t xml:space="preserve">1390</t>
  </si>
  <si>
    <t xml:space="preserve">Metco Roof Private Limited</t>
  </si>
  <si>
    <t xml:space="preserve">28 Oct 2024</t>
  </si>
  <si>
    <t xml:space="preserve">1391</t>
  </si>
  <si>
    <t xml:space="preserve">Metro Hospital and Cancer Research Centre</t>
  </si>
  <si>
    <t xml:space="preserve">1392</t>
  </si>
  <si>
    <t xml:space="preserve">Mewad Polymers Private Limited</t>
  </si>
  <si>
    <t xml:space="preserve">1393</t>
  </si>
  <si>
    <t xml:space="preserve">Mewar Hitech Engineering Limited</t>
  </si>
  <si>
    <t xml:space="preserve">1394</t>
  </si>
  <si>
    <t xml:space="preserve">Mid West Builders Private Limited</t>
  </si>
  <si>
    <t xml:space="preserve">1395</t>
  </si>
  <si>
    <t xml:space="preserve">Midas Agro Foods Pvt Ltd</t>
  </si>
  <si>
    <t xml:space="preserve">1396</t>
  </si>
  <si>
    <t xml:space="preserve">Midway Apparels India Private Limited</t>
  </si>
  <si>
    <t xml:space="preserve">1397</t>
  </si>
  <si>
    <t xml:space="preserve">Milind Pulses</t>
  </si>
  <si>
    <t xml:space="preserve">1398</t>
  </si>
  <si>
    <t xml:space="preserve">Millenium Exim Private Limited</t>
  </si>
  <si>
    <t xml:space="preserve">1399</t>
  </si>
  <si>
    <t xml:space="preserve">Milsha Agro Exports Pvt. Ltd.</t>
  </si>
  <si>
    <t xml:space="preserve">1400</t>
  </si>
  <si>
    <t xml:space="preserve">Milton Cycle Industries Limited</t>
  </si>
  <si>
    <t xml:space="preserve">1401</t>
  </si>
  <si>
    <t xml:space="preserve">Mini Construction</t>
  </si>
  <si>
    <t xml:space="preserve">25 Mar 2021</t>
  </si>
  <si>
    <t xml:space="preserve">1402</t>
  </si>
  <si>
    <t xml:space="preserve">Mini Hotels &amp; Projects</t>
  </si>
  <si>
    <t xml:space="preserve">1403</t>
  </si>
  <si>
    <t xml:space="preserve">Mining Associates Pvt. Ltd.</t>
  </si>
  <si>
    <t xml:space="preserve">18 May 2021</t>
  </si>
  <si>
    <t xml:space="preserve">1404</t>
  </si>
  <si>
    <t xml:space="preserve">Minox Metal Private Limited</t>
  </si>
  <si>
    <t xml:space="preserve">1405</t>
  </si>
  <si>
    <t xml:space="preserve">Mira Exim Limited</t>
  </si>
  <si>
    <t xml:space="preserve">12 Jan 2023</t>
  </si>
  <si>
    <t xml:space="preserve">1406</t>
  </si>
  <si>
    <t xml:space="preserve">Miraj Metals</t>
  </si>
  <si>
    <t xml:space="preserve">1407</t>
  </si>
  <si>
    <t xml:space="preserve">Miryalaguda Municipality</t>
  </si>
  <si>
    <t xml:space="preserve">1408</t>
  </si>
  <si>
    <t xml:space="preserve">Mistry Enterprises Limited</t>
  </si>
  <si>
    <t xml:space="preserve">1409</t>
  </si>
  <si>
    <t xml:space="preserve">Mittal Construction Unit</t>
  </si>
  <si>
    <t xml:space="preserve">1410</t>
  </si>
  <si>
    <t xml:space="preserve">Mittal Cot Fibers</t>
  </si>
  <si>
    <t xml:space="preserve">1411</t>
  </si>
  <si>
    <t xml:space="preserve">Mittal International</t>
  </si>
  <si>
    <t xml:space="preserve">1412</t>
  </si>
  <si>
    <t xml:space="preserve">Mittal Life Style Limited</t>
  </si>
  <si>
    <t xml:space="preserve">05 Aug 2021</t>
  </si>
  <si>
    <t xml:space="preserve">1413</t>
  </si>
  <si>
    <t xml:space="preserve">Mittal Ocean Trade Pvt. Ltd.</t>
  </si>
  <si>
    <t xml:space="preserve">21 May 2018</t>
  </si>
  <si>
    <t xml:space="preserve">1414</t>
  </si>
  <si>
    <t xml:space="preserve">Mittal Timber Store</t>
  </si>
  <si>
    <t xml:space="preserve">1415</t>
  </si>
  <si>
    <t xml:space="preserve">Mittal Udyog Indore Pvt. Ltd.</t>
  </si>
  <si>
    <t xml:space="preserve">1416</t>
  </si>
  <si>
    <t xml:space="preserve">Mixed Bag Overseas</t>
  </si>
  <si>
    <t xml:space="preserve">1417</t>
  </si>
  <si>
    <t xml:space="preserve">Mizoram Ispat Industries</t>
  </si>
  <si>
    <t xml:space="preserve">1418</t>
  </si>
  <si>
    <t xml:space="preserve">MM Auto Industries Limited</t>
  </si>
  <si>
    <t xml:space="preserve">1419</t>
  </si>
  <si>
    <t xml:space="preserve">MNR Cottons Limited</t>
  </si>
  <si>
    <t xml:space="preserve">1420</t>
  </si>
  <si>
    <t xml:space="preserve">Mobismart Card Technology Private Limited</t>
  </si>
  <si>
    <t xml:space="preserve">1421</t>
  </si>
  <si>
    <t xml:space="preserve">Modern Agro Mills</t>
  </si>
  <si>
    <t xml:space="preserve">1422</t>
  </si>
  <si>
    <t xml:space="preserve">Modern Agro-Tech Industries</t>
  </si>
  <si>
    <t xml:space="preserve">1423</t>
  </si>
  <si>
    <t xml:space="preserve">Modern Chemicals</t>
  </si>
  <si>
    <t xml:space="preserve">1424</t>
  </si>
  <si>
    <t xml:space="preserve">Modern Construction Company (Delhi)</t>
  </si>
  <si>
    <t xml:space="preserve">1425</t>
  </si>
  <si>
    <t xml:space="preserve">Modern Machinery Store</t>
  </si>
  <si>
    <t xml:space="preserve">1426</t>
  </si>
  <si>
    <t xml:space="preserve">Modern Transformers Private Limited</t>
  </si>
  <si>
    <t xml:space="preserve">1427</t>
  </si>
  <si>
    <t xml:space="preserve">Modrina Auto Enterprises</t>
  </si>
  <si>
    <t xml:space="preserve">1428</t>
  </si>
  <si>
    <t xml:space="preserve">Modular Concepts LLC</t>
  </si>
  <si>
    <t xml:space="preserve">26 May 2020</t>
  </si>
  <si>
    <t xml:space="preserve">1429</t>
  </si>
  <si>
    <t xml:space="preserve">Mohan Enterprises</t>
  </si>
  <si>
    <t xml:space="preserve">19 Jul 2024</t>
  </si>
  <si>
    <t xml:space="preserve">1430</t>
  </si>
  <si>
    <t xml:space="preserve">Mohan Mutha Exports Private Limited</t>
  </si>
  <si>
    <t xml:space="preserve">09 Sep 2024</t>
  </si>
  <si>
    <t xml:space="preserve">1431</t>
  </si>
  <si>
    <t xml:space="preserve">Mohan Rao and Company</t>
  </si>
  <si>
    <t xml:space="preserve">1432</t>
  </si>
  <si>
    <t xml:space="preserve">Mohani Tea Leaves Private Limited</t>
  </si>
  <si>
    <t xml:space="preserve">1433</t>
  </si>
  <si>
    <t xml:space="preserve">Mohit Ispat Limited</t>
  </si>
  <si>
    <t xml:space="preserve">1434</t>
  </si>
  <si>
    <t xml:space="preserve">Mondal Cold Storage</t>
  </si>
  <si>
    <t xml:space="preserve">1435</t>
  </si>
  <si>
    <t xml:space="preserve">Mondal Ice &amp; Cold Storage Private Limited</t>
  </si>
  <si>
    <t xml:space="preserve">1436</t>
  </si>
  <si>
    <t xml:space="preserve">Montana Tiles Pvt. Ltd.</t>
  </si>
  <si>
    <t xml:space="preserve">1437</t>
  </si>
  <si>
    <t xml:space="preserve">Montfort Educational and Charitable Trust of The Brothers of St. Gabriel</t>
  </si>
  <si>
    <t xml:space="preserve">1438</t>
  </si>
  <si>
    <t xml:space="preserve">Moonlight Marbles Private Limited</t>
  </si>
  <si>
    <t xml:space="preserve">1439</t>
  </si>
  <si>
    <t xml:space="preserve">Mor Alloys Private Limited</t>
  </si>
  <si>
    <t xml:space="preserve">1440</t>
  </si>
  <si>
    <t xml:space="preserve">Motherhood Institute of Management &amp; Technology Society</t>
  </si>
  <si>
    <t xml:space="preserve">1441</t>
  </si>
  <si>
    <t xml:space="preserve">Motia Township Private Limited</t>
  </si>
  <si>
    <t xml:space="preserve">1442</t>
  </si>
  <si>
    <t xml:space="preserve">MP Agro BRK Energy Foods Limited</t>
  </si>
  <si>
    <t xml:space="preserve">1443</t>
  </si>
  <si>
    <t xml:space="preserve">Mridul International Private Limited (Erstwhile Mridul Enterprises)</t>
  </si>
  <si>
    <t xml:space="preserve">1444</t>
  </si>
  <si>
    <t xml:space="preserve">MRN Agro Industries</t>
  </si>
  <si>
    <t xml:space="preserve">1445</t>
  </si>
  <si>
    <t xml:space="preserve">Mudrakshi Hytech India Private Limited</t>
  </si>
  <si>
    <t xml:space="preserve">1446</t>
  </si>
  <si>
    <t xml:space="preserve">Mukesh and Co.</t>
  </si>
  <si>
    <t xml:space="preserve">1447</t>
  </si>
  <si>
    <t xml:space="preserve">Mukta Industries Private Limited</t>
  </si>
  <si>
    <t xml:space="preserve">1448</t>
  </si>
  <si>
    <t xml:space="preserve">Muktsar Cotton (P) Ltd.</t>
  </si>
  <si>
    <t xml:space="preserve">1449</t>
  </si>
  <si>
    <t xml:space="preserve">Mula Agro Products Private Limited</t>
  </si>
  <si>
    <t xml:space="preserve">1450</t>
  </si>
  <si>
    <t xml:space="preserve">MULA Sahakari Sakhar Karkhana Limited</t>
  </si>
  <si>
    <t xml:space="preserve">23 Jan 2023</t>
  </si>
  <si>
    <t xml:space="preserve">1451</t>
  </si>
  <si>
    <t xml:space="preserve">Multichem Specialities Private Limited</t>
  </si>
  <si>
    <t xml:space="preserve">1452</t>
  </si>
  <si>
    <t xml:space="preserve">Multimech Engineers</t>
  </si>
  <si>
    <t xml:space="preserve">1453</t>
  </si>
  <si>
    <t xml:space="preserve">Multistone Granito (P) Limited</t>
  </si>
  <si>
    <t xml:space="preserve">1454</t>
  </si>
  <si>
    <t xml:space="preserve">Mums Mega Food Park Private Limited</t>
  </si>
  <si>
    <t xml:space="preserve">1455</t>
  </si>
  <si>
    <t xml:space="preserve">Mundhra Jewellers Private Limited</t>
  </si>
  <si>
    <t xml:space="preserve">07 Mar 2023</t>
  </si>
  <si>
    <t xml:space="preserve">1456</t>
  </si>
  <si>
    <t xml:space="preserve">Mundra Investments Private Limited</t>
  </si>
  <si>
    <t xml:space="preserve">1457</t>
  </si>
  <si>
    <t xml:space="preserve">Murli Cold Storage Private Limited</t>
  </si>
  <si>
    <t xml:space="preserve">1458</t>
  </si>
  <si>
    <t xml:space="preserve">MV &amp; Vajra Developers</t>
  </si>
  <si>
    <t xml:space="preserve">1459</t>
  </si>
  <si>
    <t xml:space="preserve">MVP Group International Inc.</t>
  </si>
  <si>
    <t xml:space="preserve">1460</t>
  </si>
  <si>
    <t xml:space="preserve">Mvr Gas</t>
  </si>
  <si>
    <t xml:space="preserve">1461</t>
  </si>
  <si>
    <t xml:space="preserve">MVV And GV Housing</t>
  </si>
  <si>
    <t xml:space="preserve">1462</t>
  </si>
  <si>
    <t xml:space="preserve">N S Vaishno Devi Developers India Private Limited</t>
  </si>
  <si>
    <t xml:space="preserve">1463</t>
  </si>
  <si>
    <t xml:space="preserve">N. D. Plastics</t>
  </si>
  <si>
    <t xml:space="preserve">1464</t>
  </si>
  <si>
    <t xml:space="preserve">N. Mohamed Jamaluddin</t>
  </si>
  <si>
    <t xml:space="preserve">24 Dec 2021</t>
  </si>
  <si>
    <t xml:space="preserve">1465</t>
  </si>
  <si>
    <t xml:space="preserve">N.B Hi-Tech Cold Storage</t>
  </si>
  <si>
    <t xml:space="preserve">1466</t>
  </si>
  <si>
    <t xml:space="preserve">N.B.Cotex Pvt. Ltd.</t>
  </si>
  <si>
    <t xml:space="preserve">1467</t>
  </si>
  <si>
    <t xml:space="preserve">N.K Trading Co</t>
  </si>
  <si>
    <t xml:space="preserve">1468</t>
  </si>
  <si>
    <t xml:space="preserve">Nabadigant Educational Trust</t>
  </si>
  <si>
    <t xml:space="preserve">1469</t>
  </si>
  <si>
    <t xml:space="preserve">Nagarjuna Warehousing</t>
  </si>
  <si>
    <t xml:space="preserve">1470</t>
  </si>
  <si>
    <t xml:space="preserve">Nagarkurnool Municipality</t>
  </si>
  <si>
    <t xml:space="preserve">1471</t>
  </si>
  <si>
    <t xml:space="preserve">Nalari Ferro Alloys Private Limited</t>
  </si>
  <si>
    <t xml:space="preserve">1472</t>
  </si>
  <si>
    <t xml:space="preserve">Nalgonda Municipality</t>
  </si>
  <si>
    <t xml:space="preserve">1473</t>
  </si>
  <si>
    <t xml:space="preserve">Nallamilli Satyanarayana Reddy and Others</t>
  </si>
  <si>
    <t xml:space="preserve">1474</t>
  </si>
  <si>
    <t xml:space="preserve">Namasthetu Infratech Private Limited</t>
  </si>
  <si>
    <t xml:space="preserve">1475</t>
  </si>
  <si>
    <t xml:space="preserve">Nandan Saha Steel Private Limited</t>
  </si>
  <si>
    <t xml:space="preserve">1476</t>
  </si>
  <si>
    <t xml:space="preserve">Nandan Sales Corporation</t>
  </si>
  <si>
    <t xml:space="preserve">1477</t>
  </si>
  <si>
    <t xml:space="preserve">Nandi Irrigation Systems Limited</t>
  </si>
  <si>
    <t xml:space="preserve">1478</t>
  </si>
  <si>
    <t xml:space="preserve">Nandini Fitness Pvt. Ltd.</t>
  </si>
  <si>
    <t xml:space="preserve">27 Nov 2017</t>
  </si>
  <si>
    <t xml:space="preserve">1479</t>
  </si>
  <si>
    <t xml:space="preserve">Nandyala Satyanarayana</t>
  </si>
  <si>
    <t xml:space="preserve">1480</t>
  </si>
  <si>
    <t xml:space="preserve">Nanjappa Trust</t>
  </si>
  <si>
    <t xml:space="preserve">1481</t>
  </si>
  <si>
    <t xml:space="preserve">Narasaraopet Municipality</t>
  </si>
  <si>
    <t xml:space="preserve">1482</t>
  </si>
  <si>
    <t xml:space="preserve">Narayan Cold Storage (P) Ltd</t>
  </si>
  <si>
    <t xml:space="preserve">1483</t>
  </si>
  <si>
    <t xml:space="preserve">Narendra Emporis Limited</t>
  </si>
  <si>
    <t xml:space="preserve">1484</t>
  </si>
  <si>
    <t xml:space="preserve">Narendra Tea Company Private Limited</t>
  </si>
  <si>
    <t xml:space="preserve">1485</t>
  </si>
  <si>
    <t xml:space="preserve">Narmada Dal Mill</t>
  </si>
  <si>
    <t xml:space="preserve">1486</t>
  </si>
  <si>
    <t xml:space="preserve">Narula Solvex Pvt. Ltd.</t>
  </si>
  <si>
    <t xml:space="preserve">1487</t>
  </si>
  <si>
    <t xml:space="preserve">Narula Tools International</t>
  </si>
  <si>
    <t xml:space="preserve">1488</t>
  </si>
  <si>
    <t xml:space="preserve">National (India) Contractors &amp; Engineers</t>
  </si>
  <si>
    <t xml:space="preserve">09 May 2022</t>
  </si>
  <si>
    <t xml:space="preserve">1489</t>
  </si>
  <si>
    <t xml:space="preserve">National Steel and Agro Industries Limited</t>
  </si>
  <si>
    <t xml:space="preserve">1490</t>
  </si>
  <si>
    <t xml:space="preserve">Natraj Industries</t>
  </si>
  <si>
    <t xml:space="preserve">1491</t>
  </si>
  <si>
    <t xml:space="preserve">Natural Sugar and Allied Industries Limited</t>
  </si>
  <si>
    <t xml:space="preserve">1492</t>
  </si>
  <si>
    <t xml:space="preserve">Nav Bharat Rice &amp; General Mills</t>
  </si>
  <si>
    <t xml:space="preserve">1493</t>
  </si>
  <si>
    <t xml:space="preserve">Nav Vidya Society for Education Research &amp; Training</t>
  </si>
  <si>
    <t xml:space="preserve">25 Jan 2022</t>
  </si>
  <si>
    <t xml:space="preserve">1494</t>
  </si>
  <si>
    <t xml:space="preserve">Navalakha Translines</t>
  </si>
  <si>
    <t xml:space="preserve">1495</t>
  </si>
  <si>
    <t xml:space="preserve">Navdanya Enterprises</t>
  </si>
  <si>
    <t xml:space="preserve">1496</t>
  </si>
  <si>
    <t xml:space="preserve">Navdanya Foods Private Limited</t>
  </si>
  <si>
    <t xml:space="preserve">1497</t>
  </si>
  <si>
    <t xml:space="preserve">Navin Cold Storage Pvt. Ltd.</t>
  </si>
  <si>
    <t xml:space="preserve">1498</t>
  </si>
  <si>
    <t xml:space="preserve">Navkar Buildcon</t>
  </si>
  <si>
    <t xml:space="preserve">1499</t>
  </si>
  <si>
    <t xml:space="preserve">Navneeta Steels Private Limited</t>
  </si>
  <si>
    <t xml:space="preserve">1500</t>
  </si>
  <si>
    <t xml:space="preserve">Neco Heavy Engineering And Castings Limited</t>
  </si>
  <si>
    <t xml:space="preserve">1501</t>
  </si>
  <si>
    <t xml:space="preserve">Neelay Metal Industries</t>
  </si>
  <si>
    <t xml:space="preserve">1502</t>
  </si>
  <si>
    <t xml:space="preserve">Neelkamal Steels Private Limited</t>
  </si>
  <si>
    <t xml:space="preserve">1503</t>
  </si>
  <si>
    <t xml:space="preserve">Neelkanth Pulp &amp; Paper Boards</t>
  </si>
  <si>
    <t xml:space="preserve">25 Aug 2017</t>
  </si>
  <si>
    <t xml:space="preserve">1504</t>
  </si>
  <si>
    <t xml:space="preserve">Neelson Ceramic Llp</t>
  </si>
  <si>
    <t xml:space="preserve">1505</t>
  </si>
  <si>
    <t xml:space="preserve">Neerus Ensembles Private Limited</t>
  </si>
  <si>
    <t xml:space="preserve">1506</t>
  </si>
  <si>
    <t xml:space="preserve">Neeta Developer</t>
  </si>
  <si>
    <t xml:space="preserve">1507</t>
  </si>
  <si>
    <t xml:space="preserve">Neo Paper Mill Private Limited</t>
  </si>
  <si>
    <t xml:space="preserve">1508</t>
  </si>
  <si>
    <t xml:space="preserve">Neogem India Limited</t>
  </si>
  <si>
    <t xml:space="preserve">1509</t>
  </si>
  <si>
    <t xml:space="preserve">Neotech Education Foundation</t>
  </si>
  <si>
    <t xml:space="preserve">1510</t>
  </si>
  <si>
    <t xml:space="preserve">New Bharat Rice Mills</t>
  </si>
  <si>
    <t xml:space="preserve">1511</t>
  </si>
  <si>
    <t xml:space="preserve">New Citizen Cars</t>
  </si>
  <si>
    <t xml:space="preserve">1512</t>
  </si>
  <si>
    <t xml:space="preserve">New India Roadways</t>
  </si>
  <si>
    <t xml:space="preserve">1513</t>
  </si>
  <si>
    <t xml:space="preserve">New Win Win Feeds Pvt. Ltd.</t>
  </si>
  <si>
    <t xml:space="preserve">1514</t>
  </si>
  <si>
    <t xml:space="preserve">New World Landmark LLP</t>
  </si>
  <si>
    <t xml:space="preserve">1515</t>
  </si>
  <si>
    <t xml:space="preserve">Newage Laminators Private Limited</t>
  </si>
  <si>
    <t xml:space="preserve">21 Dec 2021</t>
  </si>
  <si>
    <t xml:space="preserve">1516</t>
  </si>
  <si>
    <t xml:space="preserve">NG Fertilizers &amp; Chemicals Private Limited</t>
  </si>
  <si>
    <t xml:space="preserve">29 Aug 2017</t>
  </si>
  <si>
    <t xml:space="preserve">1517</t>
  </si>
  <si>
    <t xml:space="preserve">Nice Sesame Agro Industries</t>
  </si>
  <si>
    <t xml:space="preserve">1518</t>
  </si>
  <si>
    <t xml:space="preserve">Nicomet Industries Limited</t>
  </si>
  <si>
    <t xml:space="preserve">1519</t>
  </si>
  <si>
    <t xml:space="preserve">Nijanand Pipes And Fittings Private Limited</t>
  </si>
  <si>
    <t xml:space="preserve">1520</t>
  </si>
  <si>
    <t xml:space="preserve">Nikhil Udyog</t>
  </si>
  <si>
    <t xml:space="preserve">1521</t>
  </si>
  <si>
    <t xml:space="preserve">Nilkanth Cotton industries</t>
  </si>
  <si>
    <t xml:space="preserve">1522</t>
  </si>
  <si>
    <t xml:space="preserve">Nimra Educational Society</t>
  </si>
  <si>
    <t xml:space="preserve">1523</t>
  </si>
  <si>
    <t xml:space="preserve">Nirav Gems</t>
  </si>
  <si>
    <t xml:space="preserve">1524</t>
  </si>
  <si>
    <t xml:space="preserve">Nirmal Traders</t>
  </si>
  <si>
    <t xml:space="preserve">1525</t>
  </si>
  <si>
    <t xml:space="preserve">Nirwana Hotels and Resorts Private Limited</t>
  </si>
  <si>
    <t xml:space="preserve">1526</t>
  </si>
  <si>
    <t xml:space="preserve">Nishi Forex &amp; Leisure Pvt. Ltd.</t>
  </si>
  <si>
    <t xml:space="preserve">1527</t>
  </si>
  <si>
    <t xml:space="preserve">Nisiki India Private Limited</t>
  </si>
  <si>
    <t xml:space="preserve">1528</t>
  </si>
  <si>
    <t xml:space="preserve">Nisiki Technologies Pvt Ltd</t>
  </si>
  <si>
    <t xml:space="preserve">28 Apr 2022</t>
  </si>
  <si>
    <t xml:space="preserve">1529</t>
  </si>
  <si>
    <t xml:space="preserve">Nitasha Constructions</t>
  </si>
  <si>
    <t xml:space="preserve">1530</t>
  </si>
  <si>
    <t xml:space="preserve">Nitesh Fashion Pvt. Ltd.</t>
  </si>
  <si>
    <t xml:space="preserve">1531</t>
  </si>
  <si>
    <t xml:space="preserve">Nizamabad Municipal Corporation</t>
  </si>
  <si>
    <t xml:space="preserve">1532</t>
  </si>
  <si>
    <t xml:space="preserve">Nizampet Municipal Corporation</t>
  </si>
  <si>
    <t xml:space="preserve">1533</t>
  </si>
  <si>
    <t xml:space="preserve">NJR Constructions Pvt. Ltd.</t>
  </si>
  <si>
    <t xml:space="preserve">1534</t>
  </si>
  <si>
    <t xml:space="preserve">Noble Educational and Charitable Trust</t>
  </si>
  <si>
    <t xml:space="preserve">1535</t>
  </si>
  <si>
    <t xml:space="preserve">Noble Moulds Private Limited</t>
  </si>
  <si>
    <t xml:space="preserve">1536</t>
  </si>
  <si>
    <t xml:space="preserve">Nomax Electrical Steel Pvt Ltd</t>
  </si>
  <si>
    <t xml:space="preserve">1537</t>
  </si>
  <si>
    <t xml:space="preserve">Nooli Jewellers</t>
  </si>
  <si>
    <t xml:space="preserve">1538</t>
  </si>
  <si>
    <t xml:space="preserve">Noor Ice &amp; Cold Storage Private Limited</t>
  </si>
  <si>
    <t xml:space="preserve">1539</t>
  </si>
  <si>
    <t xml:space="preserve">North India Surgical Company</t>
  </si>
  <si>
    <t xml:space="preserve">1540</t>
  </si>
  <si>
    <t xml:space="preserve">North Western Karnataka Road Transport Corporation</t>
  </si>
  <si>
    <t xml:space="preserve">1541</t>
  </si>
  <si>
    <t xml:space="preserve">Notto Granito LLP</t>
  </si>
  <si>
    <t xml:space="preserve">1542</t>
  </si>
  <si>
    <t xml:space="preserve">Nova Carbons India Private Limited</t>
  </si>
  <si>
    <t xml:space="preserve">1543</t>
  </si>
  <si>
    <t xml:space="preserve">NSN Reddy Rice Industry</t>
  </si>
  <si>
    <t xml:space="preserve">1544</t>
  </si>
  <si>
    <t xml:space="preserve">Nu-Chem Oils Pvt. Ltd.</t>
  </si>
  <si>
    <t xml:space="preserve">26 Aug 2020</t>
  </si>
  <si>
    <t xml:space="preserve">1545</t>
  </si>
  <si>
    <t xml:space="preserve">Nucon Pneumatics Private Limited</t>
  </si>
  <si>
    <t xml:space="preserve">1546</t>
  </si>
  <si>
    <t xml:space="preserve">Nuevo Polymers Private Limited</t>
  </si>
  <si>
    <t xml:space="preserve">1547</t>
  </si>
  <si>
    <t xml:space="preserve">Nuevosol Energy Private Limited</t>
  </si>
  <si>
    <t xml:space="preserve">1548</t>
  </si>
  <si>
    <t xml:space="preserve">Nupur Carpets</t>
  </si>
  <si>
    <t xml:space="preserve">1549</t>
  </si>
  <si>
    <t xml:space="preserve">Nuway Organic Naturals (India) Limited</t>
  </si>
  <si>
    <t xml:space="preserve">1550</t>
  </si>
  <si>
    <t xml:space="preserve">Ocean Constructions (India) Private Limited</t>
  </si>
  <si>
    <t xml:space="preserve">1551</t>
  </si>
  <si>
    <t xml:space="preserve">Ocean Pearl Hotels Private Limited</t>
  </si>
  <si>
    <t xml:space="preserve">08 Apr 2024</t>
  </si>
  <si>
    <t xml:space="preserve">1552</t>
  </si>
  <si>
    <t xml:space="preserve">Okinawa Autotech Internationall Private Limited</t>
  </si>
  <si>
    <t xml:space="preserve">28 Dec 2023</t>
  </si>
  <si>
    <t xml:space="preserve">1553</t>
  </si>
  <si>
    <t xml:space="preserve">Om Construction Companies India Private Limited (formerly known as Om Construction Company)</t>
  </si>
  <si>
    <t xml:space="preserve">22 Jul 2024</t>
  </si>
  <si>
    <t xml:space="preserve">1554</t>
  </si>
  <si>
    <t xml:space="preserve">Om Corrugated Pack Private Limited</t>
  </si>
  <si>
    <t xml:space="preserve">1555</t>
  </si>
  <si>
    <t xml:space="preserve">Om Cotton &amp; Oil Industries</t>
  </si>
  <si>
    <t xml:space="preserve">1556</t>
  </si>
  <si>
    <t xml:space="preserve">Om Foods Suppliers Pvt. Ltd.</t>
  </si>
  <si>
    <t xml:space="preserve">1557</t>
  </si>
  <si>
    <t xml:space="preserve">Om Ginning And Pressing Factory</t>
  </si>
  <si>
    <t xml:space="preserve">1558</t>
  </si>
  <si>
    <t xml:space="preserve">Om Threads Limited</t>
  </si>
  <si>
    <t xml:space="preserve">1559</t>
  </si>
  <si>
    <t xml:space="preserve">OM Trading Company</t>
  </si>
  <si>
    <t xml:space="preserve">25 Jun 2018</t>
  </si>
  <si>
    <t xml:space="preserve">1560</t>
  </si>
  <si>
    <t xml:space="preserve">Ome Sree Sai Ganesh Poultries</t>
  </si>
  <si>
    <t xml:space="preserve">1561</t>
  </si>
  <si>
    <t xml:space="preserve">Omexo Tiles</t>
  </si>
  <si>
    <t xml:space="preserve">1562</t>
  </si>
  <si>
    <t xml:space="preserve">Omkar Fabrics Private Limited</t>
  </si>
  <si>
    <t xml:space="preserve">1563</t>
  </si>
  <si>
    <t xml:space="preserve">Omkar Fertilisers Private Limited</t>
  </si>
  <si>
    <t xml:space="preserve">10 May 2017</t>
  </si>
  <si>
    <t xml:space="preserve">1564</t>
  </si>
  <si>
    <t xml:space="preserve">Omkar Infratech Limited</t>
  </si>
  <si>
    <t xml:space="preserve">31 Oct 2017</t>
  </si>
  <si>
    <t xml:space="preserve">1565</t>
  </si>
  <si>
    <t xml:space="preserve">One Capitall Limited</t>
  </si>
  <si>
    <t xml:space="preserve">1566</t>
  </si>
  <si>
    <t xml:space="preserve">Ongole Municipal Corporation</t>
  </si>
  <si>
    <t xml:space="preserve">1567</t>
  </si>
  <si>
    <t xml:space="preserve">Optics &amp; Allied Engg Pvt. Ltd</t>
  </si>
  <si>
    <t xml:space="preserve">27 Feb 2019</t>
  </si>
  <si>
    <t xml:space="preserve">1568</t>
  </si>
  <si>
    <t xml:space="preserve">Orange Ceramics</t>
  </si>
  <si>
    <t xml:space="preserve">1569</t>
  </si>
  <si>
    <t xml:space="preserve">Orange Infracon Private Limited</t>
  </si>
  <si>
    <t xml:space="preserve">1570</t>
  </si>
  <si>
    <t xml:space="preserve">Oriental Sales Corporation</t>
  </si>
  <si>
    <t xml:space="preserve">1571</t>
  </si>
  <si>
    <t xml:space="preserve">Orissa Concrete &amp; Allied Industries Ltd.</t>
  </si>
  <si>
    <t xml:space="preserve">1572</t>
  </si>
  <si>
    <t xml:space="preserve">Orix Packaging Private Limited</t>
  </si>
  <si>
    <t xml:space="preserve">1573</t>
  </si>
  <si>
    <t xml:space="preserve">Oshina Expo Pvt Ltd</t>
  </si>
  <si>
    <t xml:space="preserve">1574</t>
  </si>
  <si>
    <t xml:space="preserve">Oshiya Industries Private Limited</t>
  </si>
  <si>
    <t xml:space="preserve">1575</t>
  </si>
  <si>
    <t xml:space="preserve">Our Co. Infrastructure Developers Private Limited</t>
  </si>
  <si>
    <t xml:space="preserve">1576</t>
  </si>
  <si>
    <t xml:space="preserve">Overseas Traders</t>
  </si>
  <si>
    <t xml:space="preserve">1577</t>
  </si>
  <si>
    <t xml:space="preserve">Ovis Equipments Private Limited</t>
  </si>
  <si>
    <t xml:space="preserve">1578</t>
  </si>
  <si>
    <t xml:space="preserve">Oyo Ceramic Pvt. Ltd.</t>
  </si>
  <si>
    <t xml:space="preserve">1579</t>
  </si>
  <si>
    <t xml:space="preserve">P C Patel Infra Private Limited</t>
  </si>
  <si>
    <t xml:space="preserve">1580</t>
  </si>
  <si>
    <t xml:space="preserve">P N Rao</t>
  </si>
  <si>
    <t xml:space="preserve">1581</t>
  </si>
  <si>
    <t xml:space="preserve">P. D. Shah and Sons</t>
  </si>
  <si>
    <t xml:space="preserve">1582</t>
  </si>
  <si>
    <t xml:space="preserve">P. Dasaratharama Reddy</t>
  </si>
  <si>
    <t xml:space="preserve">1583</t>
  </si>
  <si>
    <t xml:space="preserve">P.K. Mookanambalam &amp; Co.</t>
  </si>
  <si>
    <t xml:space="preserve">25 May 2022</t>
  </si>
  <si>
    <t xml:space="preserve">1584</t>
  </si>
  <si>
    <t xml:space="preserve">P.K.M. PROJECTS PRIVATE LIMITED</t>
  </si>
  <si>
    <t xml:space="preserve">07 Mar 2024</t>
  </si>
  <si>
    <t xml:space="preserve">1585</t>
  </si>
  <si>
    <t xml:space="preserve">P.P. Polyplast Private Limited</t>
  </si>
  <si>
    <t xml:space="preserve">1586</t>
  </si>
  <si>
    <t xml:space="preserve">P.S.R. Granites</t>
  </si>
  <si>
    <t xml:space="preserve">02 Jul 2024</t>
  </si>
  <si>
    <t xml:space="preserve">1587</t>
  </si>
  <si>
    <t xml:space="preserve">P.S.R. Granites Pvt. Ltd.</t>
  </si>
  <si>
    <t xml:space="preserve">1588</t>
  </si>
  <si>
    <t xml:space="preserve">Paari Chem Resources</t>
  </si>
  <si>
    <t xml:space="preserve">1589</t>
  </si>
  <si>
    <t xml:space="preserve">Pacific Garments Pvt. Ltd.</t>
  </si>
  <si>
    <t xml:space="preserve">1590</t>
  </si>
  <si>
    <t xml:space="preserve">Padia Exports Private Limited</t>
  </si>
  <si>
    <t xml:space="preserve">1591</t>
  </si>
  <si>
    <t xml:space="preserve">Padigela Ginning Industries</t>
  </si>
  <si>
    <t xml:space="preserve">1592</t>
  </si>
  <si>
    <t xml:space="preserve">Padma Gems</t>
  </si>
  <si>
    <t xml:space="preserve">1593</t>
  </si>
  <si>
    <t xml:space="preserve">Padma Polymers</t>
  </si>
  <si>
    <t xml:space="preserve">1594</t>
  </si>
  <si>
    <t xml:space="preserve">Padmabhushan Krantiveer Doctor Nagnathanna Naykawdi Hutatma Kisan Ahir Sahakari Sakhar Karkhana Limited</t>
  </si>
  <si>
    <t xml:space="preserve">18 Aug 2017</t>
  </si>
  <si>
    <t xml:space="preserve">1595</t>
  </si>
  <si>
    <t xml:space="preserve">Padmaja Farms</t>
  </si>
  <si>
    <t xml:space="preserve">1596</t>
  </si>
  <si>
    <t xml:space="preserve">Padmasri Rice Mill</t>
  </si>
  <si>
    <t xml:space="preserve">14 Mar 2017</t>
  </si>
  <si>
    <t xml:space="preserve">1597</t>
  </si>
  <si>
    <t xml:space="preserve">Padmavathi Cotton Industries</t>
  </si>
  <si>
    <t xml:space="preserve">1598</t>
  </si>
  <si>
    <t xml:space="preserve">Pagro Frozen Foods Private Limited</t>
  </si>
  <si>
    <t xml:space="preserve">01 Jun 2017</t>
  </si>
  <si>
    <t xml:space="preserve">1599</t>
  </si>
  <si>
    <t xml:space="preserve">Paidala Thirupathi Reddy and Brothers</t>
  </si>
  <si>
    <t xml:space="preserve">1600</t>
  </si>
  <si>
    <t xml:space="preserve">Pal Synthetics Limited</t>
  </si>
  <si>
    <t xml:space="preserve">1601</t>
  </si>
  <si>
    <t xml:space="preserve">Palak Ferro Alloys</t>
  </si>
  <si>
    <t xml:space="preserve">1602</t>
  </si>
  <si>
    <t xml:space="preserve">Pan India Infraprojects Private Limited</t>
  </si>
  <si>
    <t xml:space="preserve">1603</t>
  </si>
  <si>
    <t xml:space="preserve">Pan Synthetics Pvt Ltd</t>
  </si>
  <si>
    <t xml:space="preserve">1604</t>
  </si>
  <si>
    <t xml:space="preserve">Panache Exports Private Limited</t>
  </si>
  <si>
    <t xml:space="preserve">1605</t>
  </si>
  <si>
    <t xml:space="preserve">Panasian Impex Private Limited</t>
  </si>
  <si>
    <t xml:space="preserve">1606</t>
  </si>
  <si>
    <t xml:space="preserve">Panchsheel Solvent Private Limited</t>
  </si>
  <si>
    <t xml:space="preserve">1607</t>
  </si>
  <si>
    <t xml:space="preserve">Panchwati Prayogshala Private Limited</t>
  </si>
  <si>
    <t xml:space="preserve">1608</t>
  </si>
  <si>
    <t xml:space="preserve">Pandit Automotive Private Limited</t>
  </si>
  <si>
    <t xml:space="preserve">1609</t>
  </si>
  <si>
    <t xml:space="preserve">Pandoul Flour Mills Private Limited</t>
  </si>
  <si>
    <t xml:space="preserve">1610</t>
  </si>
  <si>
    <t xml:space="preserve">Pankaj Steel Corporation</t>
  </si>
  <si>
    <t xml:space="preserve">08 Feb 2018</t>
  </si>
  <si>
    <t xml:space="preserve">1611</t>
  </si>
  <si>
    <t xml:space="preserve">Pannageshwar Sugar Mills Limited</t>
  </si>
  <si>
    <t xml:space="preserve">1612</t>
  </si>
  <si>
    <t xml:space="preserve">Pansari Polymers &amp; Steels Private Limited (formerly Pansari Steels Private Limited)</t>
  </si>
  <si>
    <t xml:space="preserve">1613</t>
  </si>
  <si>
    <t xml:space="preserve">Para Products Private Limited</t>
  </si>
  <si>
    <t xml:space="preserve">1614</t>
  </si>
  <si>
    <t xml:space="preserve">Paramasivam Palanisamy Charitable Trust</t>
  </si>
  <si>
    <t xml:space="preserve">1615</t>
  </si>
  <si>
    <t xml:space="preserve">Paramount International</t>
  </si>
  <si>
    <t xml:space="preserve">1616</t>
  </si>
  <si>
    <t xml:space="preserve">Paramount Rice Pvt. Ltd.</t>
  </si>
  <si>
    <t xml:space="preserve">19 Jul 2017</t>
  </si>
  <si>
    <t xml:space="preserve">1617</t>
  </si>
  <si>
    <t xml:space="preserve">Paramount Wheels Private Limited</t>
  </si>
  <si>
    <t xml:space="preserve">1618</t>
  </si>
  <si>
    <t xml:space="preserve">Paramshakti Steels Limited</t>
  </si>
  <si>
    <t xml:space="preserve">1619</t>
  </si>
  <si>
    <t xml:space="preserve">Parankush Food Processing &amp; Rice Mill (P) Limited</t>
  </si>
  <si>
    <t xml:space="preserve">1620</t>
  </si>
  <si>
    <t xml:space="preserve">Paras Foods</t>
  </si>
  <si>
    <t xml:space="preserve">1621</t>
  </si>
  <si>
    <t xml:space="preserve">Parasrampuria Engineers Private Limited</t>
  </si>
  <si>
    <t xml:space="preserve">1622</t>
  </si>
  <si>
    <t xml:space="preserve">Paratus Real Estates Pvt. Ltd.</t>
  </si>
  <si>
    <t xml:space="preserve">1623</t>
  </si>
  <si>
    <t xml:space="preserve">Paris Elysees India Private Limited</t>
  </si>
  <si>
    <t xml:space="preserve">1624</t>
  </si>
  <si>
    <t xml:space="preserve">Parth Concast Limited</t>
  </si>
  <si>
    <t xml:space="preserve">29 Nov 2023</t>
  </si>
  <si>
    <t xml:space="preserve">1625</t>
  </si>
  <si>
    <t xml:space="preserve">Parth Cotton &amp; Oil Industries</t>
  </si>
  <si>
    <t xml:space="preserve">1626</t>
  </si>
  <si>
    <t xml:space="preserve">Parvati Solvent Extraction Private Limited</t>
  </si>
  <si>
    <t xml:space="preserve">06 Feb 2017</t>
  </si>
  <si>
    <t xml:space="preserve">1627</t>
  </si>
  <si>
    <t xml:space="preserve">Pashupati Traders</t>
  </si>
  <si>
    <t xml:space="preserve">1628</t>
  </si>
  <si>
    <t xml:space="preserve">Pasolite Electricals Pvt Ltd</t>
  </si>
  <si>
    <t xml:space="preserve">1629</t>
  </si>
  <si>
    <t xml:space="preserve">Paswara Chemicals Limited</t>
  </si>
  <si>
    <t xml:space="preserve">1630</t>
  </si>
  <si>
    <t xml:space="preserve">Patel Cotton</t>
  </si>
  <si>
    <t xml:space="preserve">1631</t>
  </si>
  <si>
    <t xml:space="preserve">Patel Cotton Industries - Dhrangadhra</t>
  </si>
  <si>
    <t xml:space="preserve">22 Aug 2023</t>
  </si>
  <si>
    <t xml:space="preserve">1632</t>
  </si>
  <si>
    <t xml:space="preserve">Patel Cotton Industries - Veraval</t>
  </si>
  <si>
    <t xml:space="preserve">1633</t>
  </si>
  <si>
    <t xml:space="preserve">Patel Micron LLP</t>
  </si>
  <si>
    <t xml:space="preserve">1634</t>
  </si>
  <si>
    <t xml:space="preserve">Patel Oswal Housing</t>
  </si>
  <si>
    <t xml:space="preserve">1635</t>
  </si>
  <si>
    <t xml:space="preserve">Patelnagar Refractories Private Limited</t>
  </si>
  <si>
    <t xml:space="preserve">1636</t>
  </si>
  <si>
    <t xml:space="preserve">Patron Industries Private Limited</t>
  </si>
  <si>
    <t xml:space="preserve">1637</t>
  </si>
  <si>
    <t xml:space="preserve">Patwari Steels Private Limited</t>
  </si>
  <si>
    <t xml:space="preserve">1638</t>
  </si>
  <si>
    <t xml:space="preserve">Pavan Cotton Products Private Limited</t>
  </si>
  <si>
    <t xml:space="preserve">30 Dec 2019</t>
  </si>
  <si>
    <t xml:space="preserve">1639</t>
  </si>
  <si>
    <t xml:space="preserve">Pavansut Paper Mill Pvt. Ltd.</t>
  </si>
  <si>
    <t xml:space="preserve">1640</t>
  </si>
  <si>
    <t xml:space="preserve">Payne Realtors Private Limited</t>
  </si>
  <si>
    <t xml:space="preserve">1641</t>
  </si>
  <si>
    <t xml:space="preserve">PCL FOODS PRIVATE LIMITED</t>
  </si>
  <si>
    <t xml:space="preserve">1642</t>
  </si>
  <si>
    <t xml:space="preserve">PD Corporation Private Limited</t>
  </si>
  <si>
    <t xml:space="preserve">1643</t>
  </si>
  <si>
    <t xml:space="preserve">Pearson Drums &amp; Barrels Pvt Ltd</t>
  </si>
  <si>
    <t xml:space="preserve">1644</t>
  </si>
  <si>
    <t xml:space="preserve">Peel - Works Pvt. Ltd.</t>
  </si>
  <si>
    <t xml:space="preserve">1645</t>
  </si>
  <si>
    <t xml:space="preserve">Peerzadiguda Municipal Corporation</t>
  </si>
  <si>
    <t xml:space="preserve">1646</t>
  </si>
  <si>
    <t xml:space="preserve">Pepsu Road Transport Corporation</t>
  </si>
  <si>
    <t xml:space="preserve">1647</t>
  </si>
  <si>
    <t xml:space="preserve">Perfect Aluminium Alloys</t>
  </si>
  <si>
    <t xml:space="preserve">1648</t>
  </si>
  <si>
    <t xml:space="preserve">Perfect Communication</t>
  </si>
  <si>
    <t xml:space="preserve">1649</t>
  </si>
  <si>
    <t xml:space="preserve">Perfect Metacraft Llp</t>
  </si>
  <si>
    <t xml:space="preserve">1650</t>
  </si>
  <si>
    <t xml:space="preserve">Perumal Spinning Mills Private Limited</t>
  </si>
  <si>
    <t xml:space="preserve">1651</t>
  </si>
  <si>
    <t xml:space="preserve">Petal Motocon Pvt. Ltd.</t>
  </si>
  <si>
    <t xml:space="preserve">1652</t>
  </si>
  <si>
    <t xml:space="preserve">Peyush Traders</t>
  </si>
  <si>
    <t xml:space="preserve">1653</t>
  </si>
  <si>
    <t xml:space="preserve">Photon Energy Systems Limited</t>
  </si>
  <si>
    <t xml:space="preserve">16 May 2024</t>
  </si>
  <si>
    <t xml:space="preserve">1654</t>
  </si>
  <si>
    <t xml:space="preserve">Photon Rooftops Private Limited</t>
  </si>
  <si>
    <t xml:space="preserve">1655</t>
  </si>
  <si>
    <t xml:space="preserve">Pibco Enterprises Pvt. Ltd.</t>
  </si>
  <si>
    <t xml:space="preserve">1656</t>
  </si>
  <si>
    <t xml:space="preserve">Piccadily Holiday Resorts Limited</t>
  </si>
  <si>
    <t xml:space="preserve">1657</t>
  </si>
  <si>
    <t xml:space="preserve">PIK Studios Private Limited</t>
  </si>
  <si>
    <t xml:space="preserve">1658</t>
  </si>
  <si>
    <t xml:space="preserve">Pilot 2 Wheelers Pvt Ltd</t>
  </si>
  <si>
    <t xml:space="preserve">1659</t>
  </si>
  <si>
    <t xml:space="preserve">Pinnacle Biomed Private Limited</t>
  </si>
  <si>
    <t xml:space="preserve">14 Feb 2019</t>
  </si>
  <si>
    <t xml:space="preserve">1660</t>
  </si>
  <si>
    <t xml:space="preserve">Pioneer Globex Private Limited</t>
  </si>
  <si>
    <t xml:space="preserve">1661</t>
  </si>
  <si>
    <t xml:space="preserve">Pioneer Tea &amp; Exports Limited</t>
  </si>
  <si>
    <t xml:space="preserve">1662</t>
  </si>
  <si>
    <t xml:space="preserve">Pitambara Foods</t>
  </si>
  <si>
    <t xml:space="preserve">1663</t>
  </si>
  <si>
    <t xml:space="preserve">Pittie Distributors India Private Limited</t>
  </si>
  <si>
    <t xml:space="preserve">1664</t>
  </si>
  <si>
    <t xml:space="preserve">Piyush Colonisers Limited</t>
  </si>
  <si>
    <t xml:space="preserve">1665</t>
  </si>
  <si>
    <t xml:space="preserve">Piyush Infratech Private Limited</t>
  </si>
  <si>
    <t xml:space="preserve">31 May 2023</t>
  </si>
  <si>
    <t xml:space="preserve">1666</t>
  </si>
  <si>
    <t xml:space="preserve">Plasma Metal Processing Pvt. Ltd.</t>
  </si>
  <si>
    <t xml:space="preserve">1667</t>
  </si>
  <si>
    <t xml:space="preserve">Plasmix Private Limited</t>
  </si>
  <si>
    <t xml:space="preserve">1668</t>
  </si>
  <si>
    <t xml:space="preserve">Platino Classic Motors (India) Pvt. Ltd.</t>
  </si>
  <si>
    <t xml:space="preserve">05 Jul 2017</t>
  </si>
  <si>
    <t xml:space="preserve">1669</t>
  </si>
  <si>
    <t xml:space="preserve">Platinum Polymers Private Limited</t>
  </si>
  <si>
    <t xml:space="preserve">1670</t>
  </si>
  <si>
    <t xml:space="preserve">Pm Cars Pvt. Ltd.</t>
  </si>
  <si>
    <t xml:space="preserve">31 Jul 2019</t>
  </si>
  <si>
    <t xml:space="preserve">1671</t>
  </si>
  <si>
    <t xml:space="preserve">PM Infrastructure Private Limited</t>
  </si>
  <si>
    <t xml:space="preserve">25 Apr 2024</t>
  </si>
  <si>
    <t xml:space="preserve">1672</t>
  </si>
  <si>
    <t xml:space="preserve">PMJ Constructions Pvt. Ltd.</t>
  </si>
  <si>
    <t xml:space="preserve">20 Nov 2019</t>
  </si>
  <si>
    <t xml:space="preserve">1673</t>
  </si>
  <si>
    <t xml:space="preserve">PMP Infratech Pvt. Ltd.</t>
  </si>
  <si>
    <t xml:space="preserve">1674</t>
  </si>
  <si>
    <t xml:space="preserve">PMR Construction Company</t>
  </si>
  <si>
    <t xml:space="preserve">1675</t>
  </si>
  <si>
    <t xml:space="preserve">PnB Realty Ltd</t>
  </si>
  <si>
    <t xml:space="preserve">1676</t>
  </si>
  <si>
    <t xml:space="preserve">Polaris Liquor Private Limited</t>
  </si>
  <si>
    <t xml:space="preserve">1677</t>
  </si>
  <si>
    <t xml:space="preserve">Polestar Traders Private Limited</t>
  </si>
  <si>
    <t xml:space="preserve">1678</t>
  </si>
  <si>
    <t xml:space="preserve">Polixel Security Systems Private Limited</t>
  </si>
  <si>
    <t xml:space="preserve">1679</t>
  </si>
  <si>
    <t xml:space="preserve">Polyplastics Automotive India Private Limited</t>
  </si>
  <si>
    <t xml:space="preserve">1680</t>
  </si>
  <si>
    <t xml:space="preserve">Pommys Garments (India) Limited</t>
  </si>
  <si>
    <t xml:space="preserve">1681</t>
  </si>
  <si>
    <t xml:space="preserve">Ponnu Food Products</t>
  </si>
  <si>
    <t xml:space="preserve">1682</t>
  </si>
  <si>
    <t xml:space="preserve">Pooja Jewellers</t>
  </si>
  <si>
    <t xml:space="preserve">24 Oct 2017</t>
  </si>
  <si>
    <t xml:space="preserve">1683</t>
  </si>
  <si>
    <t xml:space="preserve">Popular Foundations Private Limited</t>
  </si>
  <si>
    <t xml:space="preserve">1684</t>
  </si>
  <si>
    <t xml:space="preserve">Popular Shoe Mart (1)</t>
  </si>
  <si>
    <t xml:space="preserve">1685</t>
  </si>
  <si>
    <t xml:space="preserve">Popuri Steels Limited</t>
  </si>
  <si>
    <t xml:space="preserve">1686</t>
  </si>
  <si>
    <t xml:space="preserve">Positive Micron LLP</t>
  </si>
  <si>
    <t xml:space="preserve">1687</t>
  </si>
  <si>
    <t xml:space="preserve">Power Mech Infra Limited</t>
  </si>
  <si>
    <t xml:space="preserve">09 Sep 2019</t>
  </si>
  <si>
    <t xml:space="preserve">1688</t>
  </si>
  <si>
    <t xml:space="preserve">Powered EPC Services Limited</t>
  </si>
  <si>
    <t xml:space="preserve">29 Apr 2021</t>
  </si>
  <si>
    <t xml:space="preserve">1689</t>
  </si>
  <si>
    <t xml:space="preserve">PR Packing Service</t>
  </si>
  <si>
    <t xml:space="preserve">25 Nov 2021</t>
  </si>
  <si>
    <t xml:space="preserve">1690</t>
  </si>
  <si>
    <t xml:space="preserve">Prabha Engineers</t>
  </si>
  <si>
    <t xml:space="preserve">1691</t>
  </si>
  <si>
    <t xml:space="preserve">Prabhu Agarwalla Construction Private Limited</t>
  </si>
  <si>
    <t xml:space="preserve">1692</t>
  </si>
  <si>
    <t xml:space="preserve">Prabhu Spinning Mills Private Limited</t>
  </si>
  <si>
    <t xml:space="preserve">1693</t>
  </si>
  <si>
    <t xml:space="preserve">Pragatej Builders &amp; Developers Private Limited</t>
  </si>
  <si>
    <t xml:space="preserve">20 Feb 2018</t>
  </si>
  <si>
    <t xml:space="preserve">1694</t>
  </si>
  <si>
    <t xml:space="preserve">Pragati Cotton Industries</t>
  </si>
  <si>
    <t xml:space="preserve">1695</t>
  </si>
  <si>
    <t xml:space="preserve">Pragati Glass Private Limited</t>
  </si>
  <si>
    <t xml:space="preserve">25 Jan 2018</t>
  </si>
  <si>
    <t xml:space="preserve">1696</t>
  </si>
  <si>
    <t xml:space="preserve">Pragati Marine Services Private Limited</t>
  </si>
  <si>
    <t xml:space="preserve">18 Apr 2022</t>
  </si>
  <si>
    <t xml:space="preserve">1697</t>
  </si>
  <si>
    <t xml:space="preserve">Pragya Rice Mill</t>
  </si>
  <si>
    <t xml:space="preserve">1698</t>
  </si>
  <si>
    <t xml:space="preserve">Pragya Securities Private Limited</t>
  </si>
  <si>
    <t xml:space="preserve">1699</t>
  </si>
  <si>
    <t xml:space="preserve">Prahlad Flour Mills (P) Ltd.</t>
  </si>
  <si>
    <t xml:space="preserve">1700</t>
  </si>
  <si>
    <t xml:space="preserve">Prakash Dal &amp; Flour Mills</t>
  </si>
  <si>
    <t xml:space="preserve">30 Apr 2021</t>
  </si>
  <si>
    <t xml:space="preserve">1701</t>
  </si>
  <si>
    <t xml:space="preserve">Prakash Offset Printers</t>
  </si>
  <si>
    <t xml:space="preserve">1702</t>
  </si>
  <si>
    <t xml:space="preserve">Prakash Oils Limited</t>
  </si>
  <si>
    <t xml:space="preserve">1703</t>
  </si>
  <si>
    <t xml:space="preserve">Prakash Steel Corporation</t>
  </si>
  <si>
    <t xml:space="preserve">1704</t>
  </si>
  <si>
    <t xml:space="preserve">Pramuk Infracon LLP</t>
  </si>
  <si>
    <t xml:space="preserve">1705</t>
  </si>
  <si>
    <t xml:space="preserve">Pramukh Copper Pvt. Ltd.</t>
  </si>
  <si>
    <t xml:space="preserve">1706</t>
  </si>
  <si>
    <t xml:space="preserve">Pramukh Exim Pvt. Ltd.</t>
  </si>
  <si>
    <t xml:space="preserve">1707</t>
  </si>
  <si>
    <t xml:space="preserve">Pranee Infrastructure Pvt. Ltd.</t>
  </si>
  <si>
    <t xml:space="preserve">1708</t>
  </si>
  <si>
    <t xml:space="preserve">Prani Auto Plaza Private Limited</t>
  </si>
  <si>
    <t xml:space="preserve">1709</t>
  </si>
  <si>
    <t xml:space="preserve">Prasad Agrico Industries Private Limited</t>
  </si>
  <si>
    <t xml:space="preserve">1710</t>
  </si>
  <si>
    <t xml:space="preserve">Prasad Multi Services Pvt. Ltd.</t>
  </si>
  <si>
    <t xml:space="preserve">1711</t>
  </si>
  <si>
    <t xml:space="preserve">Prashanth Educational Society</t>
  </si>
  <si>
    <t xml:space="preserve">1712</t>
  </si>
  <si>
    <t xml:space="preserve">Prateek Apparels Private Limited</t>
  </si>
  <si>
    <t xml:space="preserve">1713</t>
  </si>
  <si>
    <t xml:space="preserve">Pratibha Constructions Engineers &amp; Contractors (India) Private Limited</t>
  </si>
  <si>
    <t xml:space="preserve">1714</t>
  </si>
  <si>
    <t xml:space="preserve">Praveen Electrical Works</t>
  </si>
  <si>
    <t xml:space="preserve">1715</t>
  </si>
  <si>
    <t xml:space="preserve">Precimeasure Controls Private Limited</t>
  </si>
  <si>
    <t xml:space="preserve">1716</t>
  </si>
  <si>
    <t xml:space="preserve">Precious Jewels Corporation</t>
  </si>
  <si>
    <t xml:space="preserve">27 Feb 2020</t>
  </si>
  <si>
    <t xml:space="preserve">1717</t>
  </si>
  <si>
    <t xml:space="preserve">Precision Engineering Corporation</t>
  </si>
  <si>
    <t xml:space="preserve">1718</t>
  </si>
  <si>
    <t xml:space="preserve">Precon Technology And Castings Ltd</t>
  </si>
  <si>
    <t xml:space="preserve">1719</t>
  </si>
  <si>
    <t xml:space="preserve">Preeti Textile</t>
  </si>
  <si>
    <t xml:space="preserve">1720</t>
  </si>
  <si>
    <t xml:space="preserve">Prehari Protection Systems Pvt. Ltd.</t>
  </si>
  <si>
    <t xml:space="preserve">15 Jun 2017</t>
  </si>
  <si>
    <t xml:space="preserve">1721</t>
  </si>
  <si>
    <t xml:space="preserve">Premier Industrial Corporation Limited</t>
  </si>
  <si>
    <t xml:space="preserve">1722</t>
  </si>
  <si>
    <t xml:space="preserve">Premier Seafoods Exim Private Limited</t>
  </si>
  <si>
    <t xml:space="preserve">1723</t>
  </si>
  <si>
    <t xml:space="preserve">Presidency Exports &amp; Industries Ltd</t>
  </si>
  <si>
    <t xml:space="preserve">1724</t>
  </si>
  <si>
    <t xml:space="preserve">Prestigebulk Handling Corporation Pvt Ltd</t>
  </si>
  <si>
    <t xml:space="preserve">1725</t>
  </si>
  <si>
    <t xml:space="preserve">Prestress Steel LLP (erstwhile Prestress Wire Industries)</t>
  </si>
  <si>
    <t xml:space="preserve">28 Jan 2019</t>
  </si>
  <si>
    <t xml:space="preserve">1726</t>
  </si>
  <si>
    <t xml:space="preserve">PRG Buildcon India Pvt ltd</t>
  </si>
  <si>
    <t xml:space="preserve">01 Oct 2019</t>
  </si>
  <si>
    <t xml:space="preserve">1727</t>
  </si>
  <si>
    <t xml:space="preserve">Prime Autos</t>
  </si>
  <si>
    <t xml:space="preserve">1728</t>
  </si>
  <si>
    <t xml:space="preserve">Prime Lumbers Pvt. Ltd.</t>
  </si>
  <si>
    <t xml:space="preserve">1729</t>
  </si>
  <si>
    <t xml:space="preserve">Prince Enterprises</t>
  </si>
  <si>
    <t xml:space="preserve">1730</t>
  </si>
  <si>
    <t xml:space="preserve">Prince Properties</t>
  </si>
  <si>
    <t xml:space="preserve">1731</t>
  </si>
  <si>
    <t xml:space="preserve">Prince Yarnn India Limited</t>
  </si>
  <si>
    <t xml:space="preserve">1732</t>
  </si>
  <si>
    <t xml:space="preserve">Print Solutions Private Limited</t>
  </si>
  <si>
    <t xml:space="preserve">1733</t>
  </si>
  <si>
    <t xml:space="preserve">Pristine Commercials Private Limited</t>
  </si>
  <si>
    <t xml:space="preserve">1734</t>
  </si>
  <si>
    <t xml:space="preserve">Pristine Developers</t>
  </si>
  <si>
    <t xml:space="preserve">1735</t>
  </si>
  <si>
    <t xml:space="preserve">Prithvi Developers</t>
  </si>
  <si>
    <t xml:space="preserve">25 Apr 2018</t>
  </si>
  <si>
    <t xml:space="preserve">1736</t>
  </si>
  <si>
    <t xml:space="preserve">Priyheer Infrastructures Private Limited</t>
  </si>
  <si>
    <t xml:space="preserve">10 Oct 2017</t>
  </si>
  <si>
    <t xml:space="preserve">1737</t>
  </si>
  <si>
    <t xml:space="preserve">Prj Polymers Private Limited</t>
  </si>
  <si>
    <t xml:space="preserve">1738</t>
  </si>
  <si>
    <t xml:space="preserve">Progressive Automobiles Private Limited</t>
  </si>
  <si>
    <t xml:space="preserve">1739</t>
  </si>
  <si>
    <t xml:space="preserve">Prometrik Engineering Limited (formerly Andhra Sinter Limited)</t>
  </si>
  <si>
    <t xml:space="preserve">1740</t>
  </si>
  <si>
    <t xml:space="preserve">Proseed Foundation</t>
  </si>
  <si>
    <t xml:space="preserve">1741</t>
  </si>
  <si>
    <t xml:space="preserve">Protac Foods International Private Limited</t>
  </si>
  <si>
    <t xml:space="preserve">1742</t>
  </si>
  <si>
    <t xml:space="preserve">Prothom Industries India Private Limited</t>
  </si>
  <si>
    <t xml:space="preserve">1743</t>
  </si>
  <si>
    <t xml:space="preserve">Prudhvi Constructions Private Limited</t>
  </si>
  <si>
    <t xml:space="preserve">1744</t>
  </si>
  <si>
    <t xml:space="preserve">PSA Construction</t>
  </si>
  <si>
    <t xml:space="preserve">1745</t>
  </si>
  <si>
    <t xml:space="preserve">PSK Infrastructures and Projects Private Limited</t>
  </si>
  <si>
    <t xml:space="preserve">1746</t>
  </si>
  <si>
    <t xml:space="preserve">Ptg Technopak Private Limited</t>
  </si>
  <si>
    <t xml:space="preserve">05 May 2023</t>
  </si>
  <si>
    <t xml:space="preserve">1747</t>
  </si>
  <si>
    <t xml:space="preserve">Punjab Genco Limited</t>
  </si>
  <si>
    <t xml:space="preserve">08 Mar 2024</t>
  </si>
  <si>
    <t xml:space="preserve">1748</t>
  </si>
  <si>
    <t xml:space="preserve">Punjab Hammers Private Limited</t>
  </si>
  <si>
    <t xml:space="preserve">1749</t>
  </si>
  <si>
    <t xml:space="preserve">Punjabi University,Patiala</t>
  </si>
  <si>
    <t xml:space="preserve">23 Aug 2023</t>
  </si>
  <si>
    <t xml:space="preserve">1750</t>
  </si>
  <si>
    <t xml:space="preserve">Purandar Milk and Agro Products Limited</t>
  </si>
  <si>
    <t xml:space="preserve">1751</t>
  </si>
  <si>
    <t xml:space="preserve">Puranmal Phoola Devi Memorial Trust</t>
  </si>
  <si>
    <t xml:space="preserve">1752</t>
  </si>
  <si>
    <t xml:space="preserve">Purbanchal Laminates Private Limited</t>
  </si>
  <si>
    <t xml:space="preserve">1753</t>
  </si>
  <si>
    <t xml:space="preserve">Purewal Stone Crusher</t>
  </si>
  <si>
    <t xml:space="preserve">1754</t>
  </si>
  <si>
    <t xml:space="preserve">Purnam</t>
  </si>
  <si>
    <t xml:space="preserve">1755</t>
  </si>
  <si>
    <t xml:space="preserve">Purva Metal Sections Pvt Ltd</t>
  </si>
  <si>
    <t xml:space="preserve">1756</t>
  </si>
  <si>
    <t xml:space="preserve">Push Engineering Private Limited</t>
  </si>
  <si>
    <t xml:space="preserve">1757</t>
  </si>
  <si>
    <t xml:space="preserve">Pushpak Bullions Pvt. Ltd.</t>
  </si>
  <si>
    <t xml:space="preserve">1758</t>
  </si>
  <si>
    <t xml:space="preserve">PV Knit Fashions</t>
  </si>
  <si>
    <t xml:space="preserve">1759</t>
  </si>
  <si>
    <t xml:space="preserve">Pytex Jewellers Pvt. Ltd.</t>
  </si>
  <si>
    <t xml:space="preserve">1760</t>
  </si>
  <si>
    <t xml:space="preserve">Qi Network Enterprises Private Limited</t>
  </si>
  <si>
    <t xml:space="preserve">30 Jan 2023</t>
  </si>
  <si>
    <t xml:space="preserve">1761</t>
  </si>
  <si>
    <t xml:space="preserve">Quality Woven Sacks Private Limited</t>
  </si>
  <si>
    <t xml:space="preserve">1762</t>
  </si>
  <si>
    <t xml:space="preserve">Quatro Rail Tech Solutions Limited</t>
  </si>
  <si>
    <t xml:space="preserve">1763</t>
  </si>
  <si>
    <t xml:space="preserve">Qureshi International Private Limited</t>
  </si>
  <si>
    <t xml:space="preserve">1764</t>
  </si>
  <si>
    <t xml:space="preserve">R Balarami Reddy And Company</t>
  </si>
  <si>
    <t xml:space="preserve">1765</t>
  </si>
  <si>
    <t xml:space="preserve">R Lokesh</t>
  </si>
  <si>
    <t xml:space="preserve">1766</t>
  </si>
  <si>
    <t xml:space="preserve">R N Enterprises</t>
  </si>
  <si>
    <t xml:space="preserve">1767</t>
  </si>
  <si>
    <t xml:space="preserve">R. K. Transport Co.</t>
  </si>
  <si>
    <t xml:space="preserve">10 May 2024</t>
  </si>
  <si>
    <t xml:space="preserve">1768</t>
  </si>
  <si>
    <t xml:space="preserve">R. Krishnamurthy &amp; Co.</t>
  </si>
  <si>
    <t xml:space="preserve">08 May 2017</t>
  </si>
  <si>
    <t xml:space="preserve">1769</t>
  </si>
  <si>
    <t xml:space="preserve">R. P. Motors</t>
  </si>
  <si>
    <t xml:space="preserve">1770</t>
  </si>
  <si>
    <t xml:space="preserve">R. S. H. Agro Products Pvt Ltd</t>
  </si>
  <si>
    <t xml:space="preserve">1771</t>
  </si>
  <si>
    <t xml:space="preserve">R. S. Motors Pvt Ltd</t>
  </si>
  <si>
    <t xml:space="preserve">1772</t>
  </si>
  <si>
    <t xml:space="preserve">R.B. Rice Industries</t>
  </si>
  <si>
    <t xml:space="preserve">1773</t>
  </si>
  <si>
    <t xml:space="preserve">R.H. Sortex Rice Mills Private Limited</t>
  </si>
  <si>
    <t xml:space="preserve">1774</t>
  </si>
  <si>
    <t xml:space="preserve">R.J. Agro Industries</t>
  </si>
  <si>
    <t xml:space="preserve">1775</t>
  </si>
  <si>
    <t xml:space="preserve">R.J. Rishikaran Projects Pvt Ltd</t>
  </si>
  <si>
    <t xml:space="preserve">1776</t>
  </si>
  <si>
    <t xml:space="preserve">R.K. Agro Industries</t>
  </si>
  <si>
    <t xml:space="preserve">1777</t>
  </si>
  <si>
    <t xml:space="preserve">R.K. City Developers Pvt. Ltd.</t>
  </si>
  <si>
    <t xml:space="preserve">1778</t>
  </si>
  <si>
    <t xml:space="preserve">R.K. Dhabhai Minerals and Chemicals Private Limited</t>
  </si>
  <si>
    <t xml:space="preserve">13 Sep 2017</t>
  </si>
  <si>
    <t xml:space="preserve">1779</t>
  </si>
  <si>
    <t xml:space="preserve">R.K. Grover &amp; Co.</t>
  </si>
  <si>
    <t xml:space="preserve">1780</t>
  </si>
  <si>
    <t xml:space="preserve">R.K. Steels</t>
  </si>
  <si>
    <t xml:space="preserve">1781</t>
  </si>
  <si>
    <t xml:space="preserve">R.L.AGRO FOODS PVT.LTD.(erstwhile R.L.Foods)</t>
  </si>
  <si>
    <t xml:space="preserve">1782</t>
  </si>
  <si>
    <t xml:space="preserve">R.R. Industries</t>
  </si>
  <si>
    <t xml:space="preserve">1783</t>
  </si>
  <si>
    <t xml:space="preserve">R.Rajesh Exports</t>
  </si>
  <si>
    <t xml:space="preserve">1784</t>
  </si>
  <si>
    <t xml:space="preserve">R.S. Ajit Singh &amp; Co.(Automotives) Pvt. Ltd.</t>
  </si>
  <si>
    <t xml:space="preserve">1785</t>
  </si>
  <si>
    <t xml:space="preserve">R.S. Melgiri &amp; Co.</t>
  </si>
  <si>
    <t xml:space="preserve">1786</t>
  </si>
  <si>
    <t xml:space="preserve">R.V. Plastic Limited</t>
  </si>
  <si>
    <t xml:space="preserve">1787</t>
  </si>
  <si>
    <t xml:space="preserve">RA International</t>
  </si>
  <si>
    <t xml:space="preserve">1788</t>
  </si>
  <si>
    <t xml:space="preserve">Raaja Magnetics Limited</t>
  </si>
  <si>
    <t xml:space="preserve">1789</t>
  </si>
  <si>
    <t xml:space="preserve">Radhagobinda Rice Mills Private Limited</t>
  </si>
  <si>
    <t xml:space="preserve">1790</t>
  </si>
  <si>
    <t xml:space="preserve">Radheshyam Cottex</t>
  </si>
  <si>
    <t xml:space="preserve">1791</t>
  </si>
  <si>
    <t xml:space="preserve">Radheya Machining Limited</t>
  </si>
  <si>
    <t xml:space="preserve">22 Aug 2024</t>
  </si>
  <si>
    <t xml:space="preserve">1792</t>
  </si>
  <si>
    <t xml:space="preserve">Radhika Industries</t>
  </si>
  <si>
    <t xml:space="preserve">1793</t>
  </si>
  <si>
    <t xml:space="preserve">Radhika Packaging Private Limited</t>
  </si>
  <si>
    <t xml:space="preserve">1794</t>
  </si>
  <si>
    <t xml:space="preserve">Radiant Energy Solutions Pvt. Ltd.</t>
  </si>
  <si>
    <t xml:space="preserve">1795</t>
  </si>
  <si>
    <t xml:space="preserve">Radiant Hotels Private Limited</t>
  </si>
  <si>
    <t xml:space="preserve">1796</t>
  </si>
  <si>
    <t xml:space="preserve">Radiant Solar Private Limited</t>
  </si>
  <si>
    <t xml:space="preserve">1797</t>
  </si>
  <si>
    <t xml:space="preserve">Radius Water Limited</t>
  </si>
  <si>
    <t xml:space="preserve">1798</t>
  </si>
  <si>
    <t xml:space="preserve">Rai Bahadur Raghbir Singh Educational Society</t>
  </si>
  <si>
    <t xml:space="preserve">1799</t>
  </si>
  <si>
    <t xml:space="preserve">Raichur Laboratories Pvt. Ltd.</t>
  </si>
  <si>
    <t xml:space="preserve">1800</t>
  </si>
  <si>
    <t xml:space="preserve">Raichur Roller Flour Mills</t>
  </si>
  <si>
    <t xml:space="preserve">1801</t>
  </si>
  <si>
    <t xml:space="preserve">Raigarh Champa Rail Infrastructure Private Limited</t>
  </si>
  <si>
    <t xml:space="preserve">1802</t>
  </si>
  <si>
    <t xml:space="preserve">Raigarh Foods &amp; Hotel Business Private Limited</t>
  </si>
  <si>
    <t xml:space="preserve">1803</t>
  </si>
  <si>
    <t xml:space="preserve">Raipur Power and Steel Limited</t>
  </si>
  <si>
    <t xml:space="preserve">1804</t>
  </si>
  <si>
    <t xml:space="preserve">Raj Agro</t>
  </si>
  <si>
    <t xml:space="preserve">1805</t>
  </si>
  <si>
    <t xml:space="preserve">Raj Engineering Co.</t>
  </si>
  <si>
    <t xml:space="preserve">1806</t>
  </si>
  <si>
    <t xml:space="preserve">Raj Events and Entertainment Private Limited</t>
  </si>
  <si>
    <t xml:space="preserve">22 Mar 2019</t>
  </si>
  <si>
    <t xml:space="preserve">1807</t>
  </si>
  <si>
    <t xml:space="preserve">Raj Kumar Goel Educational Foundations</t>
  </si>
  <si>
    <t xml:space="preserve">1808</t>
  </si>
  <si>
    <t xml:space="preserve">Raj Ratan Smelter Limited</t>
  </si>
  <si>
    <t xml:space="preserve">1809</t>
  </si>
  <si>
    <t xml:space="preserve">Raja Constructions</t>
  </si>
  <si>
    <t xml:space="preserve">23 Nov 2023</t>
  </si>
  <si>
    <t xml:space="preserve">1810</t>
  </si>
  <si>
    <t xml:space="preserve">Rajalaxmi Education Trust</t>
  </si>
  <si>
    <t xml:space="preserve">1811</t>
  </si>
  <si>
    <t xml:space="preserve">Rajam Engineering Contractors</t>
  </si>
  <si>
    <t xml:space="preserve">28 Jun 2023</t>
  </si>
  <si>
    <t xml:space="preserve">1812</t>
  </si>
  <si>
    <t xml:space="preserve">Rajamahal International Pvt. Ltd.</t>
  </si>
  <si>
    <t xml:space="preserve">1813</t>
  </si>
  <si>
    <t xml:space="preserve">Rajamahendravaram Municipal Corporation</t>
  </si>
  <si>
    <t xml:space="preserve">1814</t>
  </si>
  <si>
    <t xml:space="preserve">Rajarambapu Patil Sahakari Sakhar Karkhana Limited</t>
  </si>
  <si>
    <t xml:space="preserve">10 Apr 2023</t>
  </si>
  <si>
    <t xml:space="preserve">1815</t>
  </si>
  <si>
    <t xml:space="preserve">Rajasthan Arts and Crafts House</t>
  </si>
  <si>
    <t xml:space="preserve">1816</t>
  </si>
  <si>
    <t xml:space="preserve">Rajasthan Tube Manufacturing Company Limited</t>
  </si>
  <si>
    <t xml:space="preserve">1817</t>
  </si>
  <si>
    <t xml:space="preserve">Rajeev Prakashan</t>
  </si>
  <si>
    <t xml:space="preserve">1818</t>
  </si>
  <si>
    <t xml:space="preserve">Rajesh Construction Company</t>
  </si>
  <si>
    <t xml:space="preserve">1819</t>
  </si>
  <si>
    <t xml:space="preserve">Rajgangpur Ispat Udyog</t>
  </si>
  <si>
    <t xml:space="preserve">1820</t>
  </si>
  <si>
    <t xml:space="preserve">Rajnish Steels</t>
  </si>
  <si>
    <t xml:space="preserve">1821</t>
  </si>
  <si>
    <t xml:space="preserve">Rajrajeshwar Cotton Industries</t>
  </si>
  <si>
    <t xml:space="preserve">1822</t>
  </si>
  <si>
    <t xml:space="preserve">Rajsamadhiyala Spintex Private Limited</t>
  </si>
  <si>
    <t xml:space="preserve">1823</t>
  </si>
  <si>
    <t xml:space="preserve">Rajshree Sugars &amp; Chemicals Limited</t>
  </si>
  <si>
    <t xml:space="preserve">1824</t>
  </si>
  <si>
    <t xml:space="preserve">Ram Chander Builders Private Limited</t>
  </si>
  <si>
    <t xml:space="preserve">1825</t>
  </si>
  <si>
    <t xml:space="preserve">Rama Cotspin Private Limited</t>
  </si>
  <si>
    <t xml:space="preserve">1826</t>
  </si>
  <si>
    <t xml:space="preserve">Rama Cylinders Private Limited</t>
  </si>
  <si>
    <t xml:space="preserve">04 Nov 2024</t>
  </si>
  <si>
    <t xml:space="preserve">1827</t>
  </si>
  <si>
    <t xml:space="preserve">Rama Paper Mills Limited</t>
  </si>
  <si>
    <t xml:space="preserve">1828</t>
  </si>
  <si>
    <t xml:space="preserve">Ramagundam Municipal Corporation</t>
  </si>
  <si>
    <t xml:space="preserve">1829</t>
  </si>
  <si>
    <t xml:space="preserve">Ramakrishna Housing (P) Limited</t>
  </si>
  <si>
    <t xml:space="preserve">13 Sep 2019</t>
  </si>
  <si>
    <t xml:space="preserve">1830</t>
  </si>
  <si>
    <t xml:space="preserve">Ramakrishna Teletronics Pvt. Ltd</t>
  </si>
  <si>
    <t xml:space="preserve">1831</t>
  </si>
  <si>
    <t xml:space="preserve">Raman Agro Exports Pvt Ltd</t>
  </si>
  <si>
    <t xml:space="preserve">1832</t>
  </si>
  <si>
    <t xml:space="preserve">Ramana Educational Trust</t>
  </si>
  <si>
    <t xml:space="preserve">1833</t>
  </si>
  <si>
    <t xml:space="preserve">Ramapriya Solar Energy Private Limited</t>
  </si>
  <si>
    <t xml:space="preserve">1834</t>
  </si>
  <si>
    <t xml:space="preserve">Ramco Extrusion Private Limited</t>
  </si>
  <si>
    <t xml:space="preserve">1835</t>
  </si>
  <si>
    <t xml:space="preserve">Ramee Hotels Private Limited</t>
  </si>
  <si>
    <t xml:space="preserve">19 Sep 2019</t>
  </si>
  <si>
    <t xml:space="preserve">1836</t>
  </si>
  <si>
    <t xml:space="preserve">Ramesh Company</t>
  </si>
  <si>
    <t xml:space="preserve">1837</t>
  </si>
  <si>
    <t xml:space="preserve">Rameshwar Cottex</t>
  </si>
  <si>
    <t xml:space="preserve">1838</t>
  </si>
  <si>
    <t xml:space="preserve">Rameshwar Industries</t>
  </si>
  <si>
    <t xml:space="preserve">1839</t>
  </si>
  <si>
    <t xml:space="preserve">Rameshwar Textile Mills Ltd.</t>
  </si>
  <si>
    <t xml:space="preserve">13 Apr 2022</t>
  </si>
  <si>
    <t xml:space="preserve">1840</t>
  </si>
  <si>
    <t xml:space="preserve">Rameswar Udyog Private Limited</t>
  </si>
  <si>
    <t xml:space="preserve">1841</t>
  </si>
  <si>
    <t xml:space="preserve">Ramkumar Mills Private Limited</t>
  </si>
  <si>
    <t xml:space="preserve">1842</t>
  </si>
  <si>
    <t xml:space="preserve">Ramnord Research Laboratories Pvt. Ltd.</t>
  </si>
  <si>
    <t xml:space="preserve">1843</t>
  </si>
  <si>
    <t xml:space="preserve">Ramsons Casting Private Limited</t>
  </si>
  <si>
    <t xml:space="preserve">1844</t>
  </si>
  <si>
    <t xml:space="preserve">Ranchi Expressway Limited</t>
  </si>
  <si>
    <t xml:space="preserve">1845</t>
  </si>
  <si>
    <t xml:space="preserve">Ranga Overseas Private Limited</t>
  </si>
  <si>
    <t xml:space="preserve">1846</t>
  </si>
  <si>
    <t xml:space="preserve">Ranganathan Rajeswari Charitable Trust</t>
  </si>
  <si>
    <t xml:space="preserve">1847</t>
  </si>
  <si>
    <t xml:space="preserve">Ranjan Fabrics Private Limited</t>
  </si>
  <si>
    <t xml:space="preserve">1848</t>
  </si>
  <si>
    <t xml:space="preserve">Rapid Metrorail Gurgaon Limited</t>
  </si>
  <si>
    <t xml:space="preserve">04 Jun 2019</t>
  </si>
  <si>
    <t xml:space="preserve">1849</t>
  </si>
  <si>
    <t xml:space="preserve">Rapid Metrorail Gurgaon South Limited</t>
  </si>
  <si>
    <t xml:space="preserve">1850</t>
  </si>
  <si>
    <t xml:space="preserve">RAS Polytex Private Limited</t>
  </si>
  <si>
    <t xml:space="preserve">1851</t>
  </si>
  <si>
    <t xml:space="preserve">Rashmi Housing Private Limited</t>
  </si>
  <si>
    <t xml:space="preserve">1852</t>
  </si>
  <si>
    <t xml:space="preserve">Rathi Graphic Technologies Limited</t>
  </si>
  <si>
    <t xml:space="preserve">1853</t>
  </si>
  <si>
    <t xml:space="preserve">Rathnavel Subramaniam Educational Trust</t>
  </si>
  <si>
    <t xml:space="preserve">1854</t>
  </si>
  <si>
    <t xml:space="preserve">Ravi Steel and Renewables Private Limited (Formerly Ravi Iron Limited)</t>
  </si>
  <si>
    <t xml:space="preserve">1855</t>
  </si>
  <si>
    <t xml:space="preserve">Ravindra Rice &amp; General Mills</t>
  </si>
  <si>
    <t xml:space="preserve">1856</t>
  </si>
  <si>
    <t xml:space="preserve">Rayani Spintex Private Limited</t>
  </si>
  <si>
    <t xml:space="preserve">1857</t>
  </si>
  <si>
    <t xml:space="preserve">Rayat &amp; Bahra Group Of Institutes:An Educational and Charitable Society</t>
  </si>
  <si>
    <t xml:space="preserve">1858</t>
  </si>
  <si>
    <t xml:space="preserve">Rayban Foods Private Limited</t>
  </si>
  <si>
    <t xml:space="preserve">1859</t>
  </si>
  <si>
    <t xml:space="preserve">Real Granito Pvt. Ltd.</t>
  </si>
  <si>
    <t xml:space="preserve">1860</t>
  </si>
  <si>
    <t xml:space="preserve">Real Growth Commercial Enterprises Limited</t>
  </si>
  <si>
    <t xml:space="preserve">1861</t>
  </si>
  <si>
    <t xml:space="preserve">Realtime Techsolutions Pvt. Ltd.</t>
  </si>
  <si>
    <t xml:space="preserve">15 Apr 2021</t>
  </si>
  <si>
    <t xml:space="preserve">1862</t>
  </si>
  <si>
    <t xml:space="preserve">Reddy Pharmaceuticals Limited</t>
  </si>
  <si>
    <t xml:space="preserve">1863</t>
  </si>
  <si>
    <t xml:space="preserve">Reflexions Narayani Impex Private Limited</t>
  </si>
  <si>
    <t xml:space="preserve">1864</t>
  </si>
  <si>
    <t xml:space="preserve">Regen Infrastructure and Services Private Limited</t>
  </si>
  <si>
    <t xml:space="preserve">31 Mar 2017</t>
  </si>
  <si>
    <t xml:space="preserve">1865</t>
  </si>
  <si>
    <t xml:space="preserve">Regen Powertech Private Limited</t>
  </si>
  <si>
    <t xml:space="preserve">1866</t>
  </si>
  <si>
    <t xml:space="preserve">Regency Ispat Private Limited</t>
  </si>
  <si>
    <t xml:space="preserve">17 Apr 2023</t>
  </si>
  <si>
    <t xml:space="preserve">1867</t>
  </si>
  <si>
    <t xml:space="preserve">Regency Nirman Limited</t>
  </si>
  <si>
    <t xml:space="preserve">1868</t>
  </si>
  <si>
    <t xml:space="preserve">Regent Granito India Ltd.</t>
  </si>
  <si>
    <t xml:space="preserve">1869</t>
  </si>
  <si>
    <t xml:space="preserve">Rehber Food Industries Private Limited</t>
  </si>
  <si>
    <t xml:space="preserve">14 Feb 2023</t>
  </si>
  <si>
    <t xml:space="preserve">1870</t>
  </si>
  <si>
    <t xml:space="preserve">Relcom Technology Pvt Ltd</t>
  </si>
  <si>
    <t xml:space="preserve">1871</t>
  </si>
  <si>
    <t xml:space="preserve">Reliable Agencies</t>
  </si>
  <si>
    <t xml:space="preserve">1872</t>
  </si>
  <si>
    <t xml:space="preserve">Reliable Spaces Private Limited</t>
  </si>
  <si>
    <t xml:space="preserve">1873</t>
  </si>
  <si>
    <t xml:space="preserve">Reliance Chemotex Industries Limited</t>
  </si>
  <si>
    <t xml:space="preserve">1874</t>
  </si>
  <si>
    <t xml:space="preserve">Reliance Communications Limited</t>
  </si>
  <si>
    <t xml:space="preserve">1875</t>
  </si>
  <si>
    <t xml:space="preserve">Reliance Home Finance Limited</t>
  </si>
  <si>
    <t xml:space="preserve">1876</t>
  </si>
  <si>
    <t xml:space="preserve">Reliance Industrial Consortium Limited</t>
  </si>
  <si>
    <t xml:space="preserve">1877</t>
  </si>
  <si>
    <t xml:space="preserve">Reliance Infratel Limited</t>
  </si>
  <si>
    <t xml:space="preserve">1878</t>
  </si>
  <si>
    <t xml:space="preserve">Reliance Telecom Limited</t>
  </si>
  <si>
    <t xml:space="preserve">1879</t>
  </si>
  <si>
    <t xml:space="preserve">Remedy Medical Services Pvt. Ltd.</t>
  </si>
  <si>
    <t xml:space="preserve">1880</t>
  </si>
  <si>
    <t xml:space="preserve">Renaissance Buildhome Private Limited</t>
  </si>
  <si>
    <t xml:space="preserve">1881</t>
  </si>
  <si>
    <t xml:space="preserve">Renite Vitrified LLP</t>
  </si>
  <si>
    <t xml:space="preserve">12 Jul 2019</t>
  </si>
  <si>
    <t xml:space="preserve">1882</t>
  </si>
  <si>
    <t xml:space="preserve">Renjin Construction</t>
  </si>
  <si>
    <t xml:space="preserve">1883</t>
  </si>
  <si>
    <t xml:space="preserve">Renxsol Ecotech Private Limited</t>
  </si>
  <si>
    <t xml:space="preserve">28 Jan 2020</t>
  </si>
  <si>
    <t xml:space="preserve">1884</t>
  </si>
  <si>
    <t xml:space="preserve">Repute Foods Pvt. Ltd.</t>
  </si>
  <si>
    <t xml:space="preserve">1885</t>
  </si>
  <si>
    <t xml:space="preserve">Resolution Enterprises</t>
  </si>
  <si>
    <t xml:space="preserve">1886</t>
  </si>
  <si>
    <t xml:space="preserve">Revathi Modern Rice Mill</t>
  </si>
  <si>
    <t xml:space="preserve">1887</t>
  </si>
  <si>
    <t xml:space="preserve">Rewa Shiksha Samiti</t>
  </si>
  <si>
    <t xml:space="preserve">1888</t>
  </si>
  <si>
    <t xml:space="preserve">RGTL Industries Limited</t>
  </si>
  <si>
    <t xml:space="preserve">1889</t>
  </si>
  <si>
    <t xml:space="preserve">Rheabari Tea Company Private Limited</t>
  </si>
  <si>
    <t xml:space="preserve">1890</t>
  </si>
  <si>
    <t xml:space="preserve">Rich Food Corporation</t>
  </si>
  <si>
    <t xml:space="preserve">28 Jun 2021</t>
  </si>
  <si>
    <t xml:space="preserve">1891</t>
  </si>
  <si>
    <t xml:space="preserve">Riddhi Agro Industries</t>
  </si>
  <si>
    <t xml:space="preserve">1892</t>
  </si>
  <si>
    <t xml:space="preserve">Riddhi Siddhi Associates</t>
  </si>
  <si>
    <t xml:space="preserve">1893</t>
  </si>
  <si>
    <t xml:space="preserve">Riddhi Siddhi Cotton Ginning &amp; Pressing Pvt. Ltd.</t>
  </si>
  <si>
    <t xml:space="preserve">1894</t>
  </si>
  <si>
    <t xml:space="preserve">Riddhi Siddhi Jewellers Pvt. Ltd.</t>
  </si>
  <si>
    <t xml:space="preserve">1895</t>
  </si>
  <si>
    <t xml:space="preserve">Ridley Life-Science Pvt Ltd</t>
  </si>
  <si>
    <t xml:space="preserve">1896</t>
  </si>
  <si>
    <t xml:space="preserve">Rifah Shoes Private Limited</t>
  </si>
  <si>
    <t xml:space="preserve">1897</t>
  </si>
  <si>
    <t xml:space="preserve">Righill Electrics Private Limited</t>
  </si>
  <si>
    <t xml:space="preserve">1898</t>
  </si>
  <si>
    <t xml:space="preserve">Riona Laminate Pvt. Ltd.</t>
  </si>
  <si>
    <t xml:space="preserve">1899</t>
  </si>
  <si>
    <t xml:space="preserve">Rise On Group</t>
  </si>
  <si>
    <t xml:space="preserve">1900</t>
  </si>
  <si>
    <t xml:space="preserve">Rishabh Gold Jewels (India) Private Limited</t>
  </si>
  <si>
    <t xml:space="preserve">1901</t>
  </si>
  <si>
    <t xml:space="preserve">Rishika Fashions Private Limited</t>
  </si>
  <si>
    <t xml:space="preserve">1902</t>
  </si>
  <si>
    <t xml:space="preserve">Rissala Products Private Limited</t>
  </si>
  <si>
    <t xml:space="preserve">1903</t>
  </si>
  <si>
    <t xml:space="preserve">Riyan Paper Mill</t>
  </si>
  <si>
    <t xml:space="preserve">06 Jan 2021</t>
  </si>
  <si>
    <t xml:space="preserve">1904</t>
  </si>
  <si>
    <t xml:space="preserve">RKD Infrastructure Private Limited</t>
  </si>
  <si>
    <t xml:space="preserve">1905</t>
  </si>
  <si>
    <t xml:space="preserve">RKG International Private Limited</t>
  </si>
  <si>
    <t xml:space="preserve">05 Jun 2018</t>
  </si>
  <si>
    <t xml:space="preserve">1906</t>
  </si>
  <si>
    <t xml:space="preserve">RLJ Concast Private Limited</t>
  </si>
  <si>
    <t xml:space="preserve">26 Sep 2018</t>
  </si>
  <si>
    <t xml:space="preserve">1907</t>
  </si>
  <si>
    <t xml:space="preserve">RLJ Multigrain Private Limited</t>
  </si>
  <si>
    <t xml:space="preserve">1908</t>
  </si>
  <si>
    <t xml:space="preserve">RLJ Woven Sacks Private Limited</t>
  </si>
  <si>
    <t xml:space="preserve">23 May 2019</t>
  </si>
  <si>
    <t xml:space="preserve">1909</t>
  </si>
  <si>
    <t xml:space="preserve">Rmp Farms</t>
  </si>
  <si>
    <t xml:space="preserve">1910</t>
  </si>
  <si>
    <t xml:space="preserve">RNB International Private Limited</t>
  </si>
  <si>
    <t xml:space="preserve">1911</t>
  </si>
  <si>
    <t xml:space="preserve">RNP Scaffolding &amp; Formwork Private Limited</t>
  </si>
  <si>
    <t xml:space="preserve">1912</t>
  </si>
  <si>
    <t xml:space="preserve">Robo Equipments and Forgings Private Limited</t>
  </si>
  <si>
    <t xml:space="preserve">1913</t>
  </si>
  <si>
    <t xml:space="preserve">Rockland Ceramic Llp</t>
  </si>
  <si>
    <t xml:space="preserve">1914</t>
  </si>
  <si>
    <t xml:space="preserve">Rocky Dhar</t>
  </si>
  <si>
    <t xml:space="preserve">1915</t>
  </si>
  <si>
    <t xml:space="preserve">Rohit Fabtex</t>
  </si>
  <si>
    <t xml:space="preserve">1916</t>
  </si>
  <si>
    <t xml:space="preserve">Rolex Hosiery Private Limited</t>
  </si>
  <si>
    <t xml:space="preserve">1917</t>
  </si>
  <si>
    <t xml:space="preserve">Ronald Colaco</t>
  </si>
  <si>
    <t xml:space="preserve">1918</t>
  </si>
  <si>
    <t xml:space="preserve">Roop Technology Private Limited</t>
  </si>
  <si>
    <t xml:space="preserve">1919</t>
  </si>
  <si>
    <t xml:space="preserve">Rooplaxmi Industries India Private Limited</t>
  </si>
  <si>
    <t xml:space="preserve">1920</t>
  </si>
  <si>
    <t xml:space="preserve">Rosha Alloys Private Limited</t>
  </si>
  <si>
    <t xml:space="preserve">27 Jul 2017</t>
  </si>
  <si>
    <t xml:space="preserve">1921</t>
  </si>
  <si>
    <t xml:space="preserve">Roshan Real Estates Private Limited</t>
  </si>
  <si>
    <t xml:space="preserve">1922</t>
  </si>
  <si>
    <t xml:space="preserve">Royal Castor Products Limited</t>
  </si>
  <si>
    <t xml:space="preserve">1923</t>
  </si>
  <si>
    <t xml:space="preserve">Royal Motors Gwalior Private Limited</t>
  </si>
  <si>
    <t xml:space="preserve">1924</t>
  </si>
  <si>
    <t xml:space="preserve">Royal Power Turnkey Implements Private Limited</t>
  </si>
  <si>
    <t xml:space="preserve">1925</t>
  </si>
  <si>
    <t xml:space="preserve">Royalica Tiles</t>
  </si>
  <si>
    <t xml:space="preserve">1926</t>
  </si>
  <si>
    <t xml:space="preserve">Royals Marine Food Pvt Ltd</t>
  </si>
  <si>
    <t xml:space="preserve">19 Jun 2020</t>
  </si>
  <si>
    <t xml:space="preserve">1927</t>
  </si>
  <si>
    <t xml:space="preserve">Rpl Projects Limited</t>
  </si>
  <si>
    <t xml:space="preserve">1928</t>
  </si>
  <si>
    <t xml:space="preserve">Rsal Steel Private Limited</t>
  </si>
  <si>
    <t xml:space="preserve">05 Dec 2017</t>
  </si>
  <si>
    <t xml:space="preserve">1929</t>
  </si>
  <si>
    <t xml:space="preserve">RSG Developers Private Limited</t>
  </si>
  <si>
    <t xml:space="preserve">1930</t>
  </si>
  <si>
    <t xml:space="preserve">RSV Hospital Private Limited</t>
  </si>
  <si>
    <t xml:space="preserve">1931</t>
  </si>
  <si>
    <t xml:space="preserve">Ruchi Global Limited</t>
  </si>
  <si>
    <t xml:space="preserve">1932</t>
  </si>
  <si>
    <t xml:space="preserve">Rungta Projects Limited</t>
  </si>
  <si>
    <t xml:space="preserve">1933</t>
  </si>
  <si>
    <t xml:space="preserve">S A Iron &amp; Alloys Private Limited</t>
  </si>
  <si>
    <t xml:space="preserve">1934</t>
  </si>
  <si>
    <t xml:space="preserve">S D Rice Mills</t>
  </si>
  <si>
    <t xml:space="preserve">1935</t>
  </si>
  <si>
    <t xml:space="preserve">S M Steels</t>
  </si>
  <si>
    <t xml:space="preserve">1936</t>
  </si>
  <si>
    <t xml:space="preserve">S R Tranzcars Private Limited</t>
  </si>
  <si>
    <t xml:space="preserve">24 May 2023</t>
  </si>
  <si>
    <t xml:space="preserve">1937</t>
  </si>
  <si>
    <t xml:space="preserve">S S Super Foods Private Limited</t>
  </si>
  <si>
    <t xml:space="preserve">25 Nov 2022</t>
  </si>
  <si>
    <t xml:space="preserve">1938</t>
  </si>
  <si>
    <t xml:space="preserve">S&amp;IB Services Private Limited</t>
  </si>
  <si>
    <t xml:space="preserve">1939</t>
  </si>
  <si>
    <t xml:space="preserve">S&amp;P Infrastructure Developers Private Limited</t>
  </si>
  <si>
    <t xml:space="preserve">1940</t>
  </si>
  <si>
    <t xml:space="preserve">S. K. Exports (Lower Parel)</t>
  </si>
  <si>
    <t xml:space="preserve">1941</t>
  </si>
  <si>
    <t xml:space="preserve">S. K. S. Educational and Social Trust</t>
  </si>
  <si>
    <t xml:space="preserve">02 Jan 2024</t>
  </si>
  <si>
    <t xml:space="preserve">1942</t>
  </si>
  <si>
    <t xml:space="preserve">S. Nanda Industries Pvt. Ltd.</t>
  </si>
  <si>
    <t xml:space="preserve">1943</t>
  </si>
  <si>
    <t xml:space="preserve">S. Narayana Reddy</t>
  </si>
  <si>
    <t xml:space="preserve">1944</t>
  </si>
  <si>
    <t xml:space="preserve">S. P. Jaiswal Estates Private Limited</t>
  </si>
  <si>
    <t xml:space="preserve">1945</t>
  </si>
  <si>
    <t xml:space="preserve">S.A.M Apparels Pvt. Limited</t>
  </si>
  <si>
    <t xml:space="preserve">1946</t>
  </si>
  <si>
    <t xml:space="preserve">S.B. Cars Private Limited</t>
  </si>
  <si>
    <t xml:space="preserve">1947</t>
  </si>
  <si>
    <t xml:space="preserve">S.D. Education Trust</t>
  </si>
  <si>
    <t xml:space="preserve">1948</t>
  </si>
  <si>
    <t xml:space="preserve">S.K Foods</t>
  </si>
  <si>
    <t xml:space="preserve">1949</t>
  </si>
  <si>
    <t xml:space="preserve">S.K. Agros</t>
  </si>
  <si>
    <t xml:space="preserve">1950</t>
  </si>
  <si>
    <t xml:space="preserve">S.K. Exports</t>
  </si>
  <si>
    <t xml:space="preserve">06 May 2021</t>
  </si>
  <si>
    <t xml:space="preserve">1951</t>
  </si>
  <si>
    <t xml:space="preserve">S.K.Cotton Industries</t>
  </si>
  <si>
    <t xml:space="preserve">1952</t>
  </si>
  <si>
    <t xml:space="preserve">S.K.R. Constructions</t>
  </si>
  <si>
    <t xml:space="preserve">1953</t>
  </si>
  <si>
    <t xml:space="preserve">S.K.T.Textile Mills</t>
  </si>
  <si>
    <t xml:space="preserve">1954</t>
  </si>
  <si>
    <t xml:space="preserve">S.M. Engineers</t>
  </si>
  <si>
    <t xml:space="preserve">1955</t>
  </si>
  <si>
    <t xml:space="preserve">S.N.N Tulasi Narayana Spinners Private Limited</t>
  </si>
  <si>
    <t xml:space="preserve">11 Dec 2023</t>
  </si>
  <si>
    <t xml:space="preserve">1956</t>
  </si>
  <si>
    <t xml:space="preserve">S.N.N. Textiles Private Limited</t>
  </si>
  <si>
    <t xml:space="preserve">1957</t>
  </si>
  <si>
    <t xml:space="preserve">S.P. Sortex Rice Exports India Ltd</t>
  </si>
  <si>
    <t xml:space="preserve">1958</t>
  </si>
  <si>
    <t xml:space="preserve">S.P.R.L Foods Limited</t>
  </si>
  <si>
    <t xml:space="preserve">1959</t>
  </si>
  <si>
    <t xml:space="preserve">S.R. Polyvinyl Limited</t>
  </si>
  <si>
    <t xml:space="preserve">1960</t>
  </si>
  <si>
    <t xml:space="preserve">S.S. Construction</t>
  </si>
  <si>
    <t xml:space="preserve">1961</t>
  </si>
  <si>
    <t xml:space="preserve">S.S. Cotton Industries Private Limited</t>
  </si>
  <si>
    <t xml:space="preserve">1962</t>
  </si>
  <si>
    <t xml:space="preserve">S.S. Enterprises Electricals</t>
  </si>
  <si>
    <t xml:space="preserve">1963</t>
  </si>
  <si>
    <t xml:space="preserve">S.S. Timber Traders</t>
  </si>
  <si>
    <t xml:space="preserve">1964</t>
  </si>
  <si>
    <t xml:space="preserve">S.T. Woollen Mills Pvt Ltd</t>
  </si>
  <si>
    <t xml:space="preserve">1965</t>
  </si>
  <si>
    <t xml:space="preserve">S.V. Patel &amp; Sons</t>
  </si>
  <si>
    <t xml:space="preserve">18 Jan 2018</t>
  </si>
  <si>
    <t xml:space="preserve">1966</t>
  </si>
  <si>
    <t xml:space="preserve">S.V.S Classic Foods</t>
  </si>
  <si>
    <t xml:space="preserve">16 Jan 2017</t>
  </si>
  <si>
    <t xml:space="preserve">1967</t>
  </si>
  <si>
    <t xml:space="preserve">Saanj Aur Savera Educational and Welfare Trust</t>
  </si>
  <si>
    <t xml:space="preserve">1968</t>
  </si>
  <si>
    <t xml:space="preserve">Saanvi Clothing Pvt Ltd</t>
  </si>
  <si>
    <t xml:space="preserve">1969</t>
  </si>
  <si>
    <t xml:space="preserve">Sabari Krishna Enterprise</t>
  </si>
  <si>
    <t xml:space="preserve">1970</t>
  </si>
  <si>
    <t xml:space="preserve">Sabari Textiles Private Limited</t>
  </si>
  <si>
    <t xml:space="preserve">1971</t>
  </si>
  <si>
    <t xml:space="preserve">Sacheta Metals Limited</t>
  </si>
  <si>
    <t xml:space="preserve">15 Oct 2020</t>
  </si>
  <si>
    <t xml:space="preserve">1972</t>
  </si>
  <si>
    <t xml:space="preserve">Sadguru Medical &amp; Research Center Pvt Ltd.</t>
  </si>
  <si>
    <t xml:space="preserve">1973</t>
  </si>
  <si>
    <t xml:space="preserve">Safe Parenterals Private Limited</t>
  </si>
  <si>
    <t xml:space="preserve">1975</t>
  </si>
  <si>
    <t xml:space="preserve">Safeflex International Limited</t>
  </si>
  <si>
    <t xml:space="preserve">1974</t>
  </si>
  <si>
    <t xml:space="preserve">Safe-Tronics Automation Private Limited</t>
  </si>
  <si>
    <t xml:space="preserve">1976</t>
  </si>
  <si>
    <t xml:space="preserve">Safi Steel Traders Private Limited</t>
  </si>
  <si>
    <t xml:space="preserve">1977</t>
  </si>
  <si>
    <t xml:space="preserve">Sagar Foods</t>
  </si>
  <si>
    <t xml:space="preserve">1978</t>
  </si>
  <si>
    <t xml:space="preserve">Sagar International</t>
  </si>
  <si>
    <t xml:space="preserve">1979</t>
  </si>
  <si>
    <t xml:space="preserve">Sahakar Shiromani Vasantrao Kale Sahakari Sakhar Karkhana Limited</t>
  </si>
  <si>
    <t xml:space="preserve">1980</t>
  </si>
  <si>
    <t xml:space="preserve">Sahara Industries</t>
  </si>
  <si>
    <t xml:space="preserve">1981</t>
  </si>
  <si>
    <t xml:space="preserve">Sahastraa Exports Private Limited</t>
  </si>
  <si>
    <t xml:space="preserve">28 Sep 2023</t>
  </si>
  <si>
    <t xml:space="preserve">1982</t>
  </si>
  <si>
    <t xml:space="preserve">Sahu Hydro Power Private Limited</t>
  </si>
  <si>
    <t xml:space="preserve">1983</t>
  </si>
  <si>
    <t xml:space="preserve">Sahuwala Cylinders Pvt Ltd</t>
  </si>
  <si>
    <t xml:space="preserve">1984</t>
  </si>
  <si>
    <t xml:space="preserve">Sai Global Yarntex (India) Private Limited</t>
  </si>
  <si>
    <t xml:space="preserve">1985</t>
  </si>
  <si>
    <t xml:space="preserve">Sai International</t>
  </si>
  <si>
    <t xml:space="preserve">1986</t>
  </si>
  <si>
    <t xml:space="preserve">Sai Krishna Developers</t>
  </si>
  <si>
    <t xml:space="preserve">1987</t>
  </si>
  <si>
    <t xml:space="preserve">Sai Point Bikes and Cars</t>
  </si>
  <si>
    <t xml:space="preserve">1988</t>
  </si>
  <si>
    <t xml:space="preserve">Sai Radha Pharma (India) Private Limited</t>
  </si>
  <si>
    <t xml:space="preserve">1989</t>
  </si>
  <si>
    <t xml:space="preserve">Sai Regency Power Corporation Private Limited</t>
  </si>
  <si>
    <t xml:space="preserve">1990</t>
  </si>
  <si>
    <t xml:space="preserve">Sai Swadhin Commercials Private Limited</t>
  </si>
  <si>
    <t xml:space="preserve">1991</t>
  </si>
  <si>
    <t xml:space="preserve">Sai-Laxmi Texofab</t>
  </si>
  <si>
    <t xml:space="preserve">07 Nov 2019</t>
  </si>
  <si>
    <t xml:space="preserve">1992</t>
  </si>
  <si>
    <t xml:space="preserve">Saimax Ceramic Private Limited</t>
  </si>
  <si>
    <t xml:space="preserve">1993</t>
  </si>
  <si>
    <t xml:space="preserve">Saisons Trade &amp; Industry Private Limited</t>
  </si>
  <si>
    <t xml:space="preserve">29 Mar 2021</t>
  </si>
  <si>
    <t xml:space="preserve">1994</t>
  </si>
  <si>
    <t xml:space="preserve">Saisudhir Infrastructures Limited</t>
  </si>
  <si>
    <t xml:space="preserve">1995</t>
  </si>
  <si>
    <t xml:space="preserve">Saiwin Ceramic Private Limited</t>
  </si>
  <si>
    <t xml:space="preserve">1996</t>
  </si>
  <si>
    <t xml:space="preserve">Saj Jewellery Private Limited</t>
  </si>
  <si>
    <t xml:space="preserve">1997</t>
  </si>
  <si>
    <t xml:space="preserve">Salasar Balaji Cold Storage</t>
  </si>
  <si>
    <t xml:space="preserve">1998</t>
  </si>
  <si>
    <t xml:space="preserve">Salasar Plywood Private Limited</t>
  </si>
  <si>
    <t xml:space="preserve">1999</t>
  </si>
  <si>
    <t xml:space="preserve">Salicylates and Chemicals Private Limited</t>
  </si>
  <si>
    <t xml:space="preserve">2000</t>
  </si>
  <si>
    <t xml:space="preserve">Sambhaji Raje Cold Storage</t>
  </si>
  <si>
    <t xml:space="preserve">2001</t>
  </si>
  <si>
    <t xml:space="preserve">Samdariya Abhushan Pvt Ltd</t>
  </si>
  <si>
    <t xml:space="preserve">12 Apr 2018</t>
  </si>
  <si>
    <t xml:space="preserve">2002</t>
  </si>
  <si>
    <t xml:space="preserve">SAMDARIYA BUILDERS PVT. LTD.</t>
  </si>
  <si>
    <t xml:space="preserve">2003</t>
  </si>
  <si>
    <t xml:space="preserve">Samet Plast</t>
  </si>
  <si>
    <t xml:space="preserve">2004</t>
  </si>
  <si>
    <t xml:space="preserve">Samkit Diamond Export Private Limited</t>
  </si>
  <si>
    <t xml:space="preserve">2005</t>
  </si>
  <si>
    <t xml:space="preserve">Samrat Sea Brines Private Limited</t>
  </si>
  <si>
    <t xml:space="preserve">2006</t>
  </si>
  <si>
    <t xml:space="preserve">Samruddha Resources Limited</t>
  </si>
  <si>
    <t xml:space="preserve">2007</t>
  </si>
  <si>
    <t xml:space="preserve">Sanchem Fabrics Limited</t>
  </si>
  <si>
    <t xml:space="preserve">2008</t>
  </si>
  <si>
    <t xml:space="preserve">Sanchit Polymers</t>
  </si>
  <si>
    <t xml:space="preserve">2009</t>
  </si>
  <si>
    <t xml:space="preserve">Sandeep Rice Mills</t>
  </si>
  <si>
    <t xml:space="preserve">2010</t>
  </si>
  <si>
    <t xml:space="preserve">Sangamner Taluka Sahakari Dudh Utpadak And Prakriya Sangh Limited</t>
  </si>
  <si>
    <t xml:space="preserve">2011</t>
  </si>
  <si>
    <t xml:space="preserve">Sanghvi Buildtech Llp</t>
  </si>
  <si>
    <t xml:space="preserve">2012</t>
  </si>
  <si>
    <t xml:space="preserve">Sangli Miraj and Kupwad Municipal Corporation</t>
  </si>
  <si>
    <t xml:space="preserve">2013</t>
  </si>
  <si>
    <t xml:space="preserve">Sanjay Rice Mills Pvt. Ltd.</t>
  </si>
  <si>
    <t xml:space="preserve">2014</t>
  </si>
  <si>
    <t xml:space="preserve">Sant Deepak Education and Charitable Trust</t>
  </si>
  <si>
    <t xml:space="preserve">2015</t>
  </si>
  <si>
    <t xml:space="preserve">Sant Foods Private Limited</t>
  </si>
  <si>
    <t xml:space="preserve">2016</t>
  </si>
  <si>
    <t xml:space="preserve">Santhalakshmi Mills India Llp</t>
  </si>
  <si>
    <t xml:space="preserve">2017</t>
  </si>
  <si>
    <t xml:space="preserve">Santlal Industries Limited</t>
  </si>
  <si>
    <t xml:space="preserve">2018</t>
  </si>
  <si>
    <t xml:space="preserve">Santosh Enterprises</t>
  </si>
  <si>
    <t xml:space="preserve">2019</t>
  </si>
  <si>
    <t xml:space="preserve">Santosh Kumar Sharma</t>
  </si>
  <si>
    <t xml:space="preserve">2020</t>
  </si>
  <si>
    <t xml:space="preserve">Santoshi Leather Works</t>
  </si>
  <si>
    <t xml:space="preserve">2021</t>
  </si>
  <si>
    <t xml:space="preserve">Sapphire Lifesciences Private Limited</t>
  </si>
  <si>
    <t xml:space="preserve">23 Sep 2024</t>
  </si>
  <si>
    <t xml:space="preserve">2022</t>
  </si>
  <si>
    <t xml:space="preserve">Sar Senapati Santaji Ghorpade Sugar Factory Limited</t>
  </si>
  <si>
    <t xml:space="preserve">2023</t>
  </si>
  <si>
    <t xml:space="preserve">Saraswati Education Society Kharghar</t>
  </si>
  <si>
    <t xml:space="preserve">2024</t>
  </si>
  <si>
    <t xml:space="preserve">Saratha Electro Plater</t>
  </si>
  <si>
    <t xml:space="preserve">2025</t>
  </si>
  <si>
    <t xml:space="preserve">Saravana Buildwell Private Limited</t>
  </si>
  <si>
    <t xml:space="preserve">2026</t>
  </si>
  <si>
    <t xml:space="preserve">SARAVANA SPINNERS LIMITED</t>
  </si>
  <si>
    <t xml:space="preserve">16 Nov 2023</t>
  </si>
  <si>
    <t xml:space="preserve">2027</t>
  </si>
  <si>
    <t xml:space="preserve">Sarawagi Automobiles Private Limited</t>
  </si>
  <si>
    <t xml:space="preserve">2028</t>
  </si>
  <si>
    <t xml:space="preserve">Sarbamangala Agro Products Pvt Ltd</t>
  </si>
  <si>
    <t xml:space="preserve">01 Feb 2018</t>
  </si>
  <si>
    <t xml:space="preserve">2029</t>
  </si>
  <si>
    <t xml:space="preserve">Sardar Cotton</t>
  </si>
  <si>
    <t xml:space="preserve">2030</t>
  </si>
  <si>
    <t xml:space="preserve">Sargam Metals Private Limited</t>
  </si>
  <si>
    <t xml:space="preserve">2031</t>
  </si>
  <si>
    <t xml:space="preserve">Sarjan Infracon Pvt. Ltd.</t>
  </si>
  <si>
    <t xml:space="preserve">25 Jul 2019</t>
  </si>
  <si>
    <t xml:space="preserve">2032</t>
  </si>
  <si>
    <t xml:space="preserve">Saroja Aviation Limited</t>
  </si>
  <si>
    <t xml:space="preserve">17 Jul 2020</t>
  </si>
  <si>
    <t xml:space="preserve">2033</t>
  </si>
  <si>
    <t xml:space="preserve">Sarvesh Bliss Healthcare Private Limited</t>
  </si>
  <si>
    <t xml:space="preserve">2034</t>
  </si>
  <si>
    <t xml:space="preserve">Sarvesh Cars and Motors Private Limited</t>
  </si>
  <si>
    <t xml:space="preserve">2035</t>
  </si>
  <si>
    <t xml:space="preserve">Sarveshwari Exports Private Limited</t>
  </si>
  <si>
    <t xml:space="preserve">2036</t>
  </si>
  <si>
    <t xml:space="preserve">Sarvodaya Polymers Pvt Ltd</t>
  </si>
  <si>
    <t xml:space="preserve">2037</t>
  </si>
  <si>
    <t xml:space="preserve">Sasidhar Poultries Private Limited</t>
  </si>
  <si>
    <t xml:space="preserve">2038</t>
  </si>
  <si>
    <t xml:space="preserve">Saspack Ventures Pvt Ltd.</t>
  </si>
  <si>
    <t xml:space="preserve">2039</t>
  </si>
  <si>
    <t xml:space="preserve">SAT India Limited</t>
  </si>
  <si>
    <t xml:space="preserve">2040</t>
  </si>
  <si>
    <t xml:space="preserve">Satguru Metals &amp; Power Private Limited</t>
  </si>
  <si>
    <t xml:space="preserve">2041</t>
  </si>
  <si>
    <t xml:space="preserve">Sathish Engineering Works</t>
  </si>
  <si>
    <t xml:space="preserve">2042</t>
  </si>
  <si>
    <t xml:space="preserve">Sathyanarayana Agro Industries</t>
  </si>
  <si>
    <t xml:space="preserve">2043</t>
  </si>
  <si>
    <t xml:space="preserve">Satkar Logistics Private Limited</t>
  </si>
  <si>
    <t xml:space="preserve">2044</t>
  </si>
  <si>
    <t xml:space="preserve">Satnaam Stone Crushers Private Limited</t>
  </si>
  <si>
    <t xml:space="preserve">2045</t>
  </si>
  <si>
    <t xml:space="preserve">Satnam Psyllium Industries</t>
  </si>
  <si>
    <t xml:space="preserve">2046</t>
  </si>
  <si>
    <t xml:space="preserve">Satwi Infra</t>
  </si>
  <si>
    <t xml:space="preserve">2047</t>
  </si>
  <si>
    <t xml:space="preserve">Satya Subal Himghar Private Limited</t>
  </si>
  <si>
    <t xml:space="preserve">2048</t>
  </si>
  <si>
    <t xml:space="preserve">Satyaratan Hotels</t>
  </si>
  <si>
    <t xml:space="preserve">2049</t>
  </si>
  <si>
    <t xml:space="preserve">Satyeshwar Heemghar Private Limited</t>
  </si>
  <si>
    <t xml:space="preserve">2050</t>
  </si>
  <si>
    <t xml:space="preserve">Saurabh Agrotech Private Limited</t>
  </si>
  <si>
    <t xml:space="preserve">2051</t>
  </si>
  <si>
    <t xml:space="preserve">Saurat Auto Tech Private Limited</t>
  </si>
  <si>
    <t xml:space="preserve">2052</t>
  </si>
  <si>
    <t xml:space="preserve">Savfab Developers Pvt. Ltd.</t>
  </si>
  <si>
    <t xml:space="preserve">2053</t>
  </si>
  <si>
    <t xml:space="preserve">Savidha Medical Center and Hospital</t>
  </si>
  <si>
    <t xml:space="preserve">2054</t>
  </si>
  <si>
    <t xml:space="preserve">Savitri Polyesters Private Limited</t>
  </si>
  <si>
    <t xml:space="preserve">2055</t>
  </si>
  <si>
    <t xml:space="preserve">Saya Automobiles Limited</t>
  </si>
  <si>
    <t xml:space="preserve">2056</t>
  </si>
  <si>
    <t xml:space="preserve">SB Urbanscapes</t>
  </si>
  <si>
    <t xml:space="preserve">2057</t>
  </si>
  <si>
    <t xml:space="preserve">SBC Minerals Private Limited</t>
  </si>
  <si>
    <t xml:space="preserve">2058</t>
  </si>
  <si>
    <t xml:space="preserve">Scorpios Apparels Private Limited</t>
  </si>
  <si>
    <t xml:space="preserve">17 Jan 2025</t>
  </si>
  <si>
    <t xml:space="preserve">2059</t>
  </si>
  <si>
    <t xml:space="preserve">Scottish Chemical Industries</t>
  </si>
  <si>
    <t xml:space="preserve">2060</t>
  </si>
  <si>
    <t xml:space="preserve">Seaga India Private Limited</t>
  </si>
  <si>
    <t xml:space="preserve">2061</t>
  </si>
  <si>
    <t xml:space="preserve">Seagull Associates</t>
  </si>
  <si>
    <t xml:space="preserve">11 Feb 2025</t>
  </si>
  <si>
    <t xml:space="preserve">2062</t>
  </si>
  <si>
    <t xml:space="preserve">Seanto Minerals And Energy Limited</t>
  </si>
  <si>
    <t xml:space="preserve">2063</t>
  </si>
  <si>
    <t xml:space="preserve">Seasons Healthcare Limited</t>
  </si>
  <si>
    <t xml:space="preserve">2064</t>
  </si>
  <si>
    <t xml:space="preserve">Secoora Tiles Llp</t>
  </si>
  <si>
    <t xml:space="preserve">2065</t>
  </si>
  <si>
    <t xml:space="preserve">Secure Industries Private Limited</t>
  </si>
  <si>
    <t xml:space="preserve">04 Oct 2024</t>
  </si>
  <si>
    <t xml:space="preserve">2066</t>
  </si>
  <si>
    <t xml:space="preserve">Segam Tiles Pvt. Ltd.</t>
  </si>
  <si>
    <t xml:space="preserve">2067</t>
  </si>
  <si>
    <t xml:space="preserve">Seleno Steels Limited</t>
  </si>
  <si>
    <t xml:space="preserve">2068</t>
  </si>
  <si>
    <t xml:space="preserve">Seleo Ceramic Private Limited</t>
  </si>
  <si>
    <t xml:space="preserve">2069</t>
  </si>
  <si>
    <t xml:space="preserve">Sentini Healthcare India Private Limited</t>
  </si>
  <si>
    <t xml:space="preserve">2070</t>
  </si>
  <si>
    <t xml:space="preserve">Sentini Hospitals Private Limited</t>
  </si>
  <si>
    <t xml:space="preserve">2071</t>
  </si>
  <si>
    <t xml:space="preserve">Sepal Ceramic</t>
  </si>
  <si>
    <t xml:space="preserve">2072</t>
  </si>
  <si>
    <t xml:space="preserve">Sepal Tiles Private Limited</t>
  </si>
  <si>
    <t xml:space="preserve">2073</t>
  </si>
  <si>
    <t xml:space="preserve">Servocontrols and Hydraulics (I) Private Limited</t>
  </si>
  <si>
    <t xml:space="preserve">2074</t>
  </si>
  <si>
    <t xml:space="preserve">Sesa Minerals Limited</t>
  </si>
  <si>
    <t xml:space="preserve">2075</t>
  </si>
  <si>
    <t xml:space="preserve">Sesha Sai Cotton Company</t>
  </si>
  <si>
    <t xml:space="preserve">2076</t>
  </si>
  <si>
    <t xml:space="preserve">Seth Ramji Das Modi Vidya Niketan Society</t>
  </si>
  <si>
    <t xml:space="preserve">2077</t>
  </si>
  <si>
    <t xml:space="preserve">Seth Roshan Lal Jain Trust</t>
  </si>
  <si>
    <t xml:space="preserve">2078</t>
  </si>
  <si>
    <t xml:space="preserve">Seven Sky Entertainment Pvt. Ltd.</t>
  </si>
  <si>
    <t xml:space="preserve">2079</t>
  </si>
  <si>
    <t xml:space="preserve">Sevoke Motors Private Limited</t>
  </si>
  <si>
    <t xml:space="preserve">2080</t>
  </si>
  <si>
    <t xml:space="preserve">SH INFRATECH PRIVATE LIMITED</t>
  </si>
  <si>
    <t xml:space="preserve">24 Jan 2017</t>
  </si>
  <si>
    <t xml:space="preserve">2081</t>
  </si>
  <si>
    <t xml:space="preserve">Shaarc Projects Limited</t>
  </si>
  <si>
    <t xml:space="preserve">11 May 2020</t>
  </si>
  <si>
    <t xml:space="preserve">2082</t>
  </si>
  <si>
    <t xml:space="preserve">Shadiram &amp; Sons Pvt. Ltd.</t>
  </si>
  <si>
    <t xml:space="preserve">2083</t>
  </si>
  <si>
    <t xml:space="preserve">Shadnagar Municipality</t>
  </si>
  <si>
    <t xml:space="preserve">2084</t>
  </si>
  <si>
    <t xml:space="preserve">Shaf Broadcast Private Limited</t>
  </si>
  <si>
    <t xml:space="preserve">2085</t>
  </si>
  <si>
    <t xml:space="preserve">Shah Technical Consultants Private Limited</t>
  </si>
  <si>
    <t xml:space="preserve">2086</t>
  </si>
  <si>
    <t xml:space="preserve">Shah Tiles Private Limited</t>
  </si>
  <si>
    <t xml:space="preserve">2087</t>
  </si>
  <si>
    <t xml:space="preserve">Shakti Cables Private Limited</t>
  </si>
  <si>
    <t xml:space="preserve">2088</t>
  </si>
  <si>
    <t xml:space="preserve">Shakti Hormann Private Limited</t>
  </si>
  <si>
    <t xml:space="preserve">16 Aug 2023</t>
  </si>
  <si>
    <t xml:space="preserve">2089</t>
  </si>
  <si>
    <t xml:space="preserve">Shakti Polytex Private Limited</t>
  </si>
  <si>
    <t xml:space="preserve">2090</t>
  </si>
  <si>
    <t xml:space="preserve">Shakumbhari Expo-Impo Limited</t>
  </si>
  <si>
    <t xml:space="preserve">10 May 2023</t>
  </si>
  <si>
    <t xml:space="preserve">2091</t>
  </si>
  <si>
    <t xml:space="preserve">Shakumbhri Pulp &amp; Paper Mills Limited</t>
  </si>
  <si>
    <t xml:space="preserve">2092</t>
  </si>
  <si>
    <t xml:space="preserve">Shallow Ceramic Pvt. Ltd.</t>
  </si>
  <si>
    <t xml:space="preserve">2093</t>
  </si>
  <si>
    <t xml:space="preserve">Shamli Steels Private Limited</t>
  </si>
  <si>
    <t xml:space="preserve">2094</t>
  </si>
  <si>
    <t xml:space="preserve">Shangri-La Industries Private Limited</t>
  </si>
  <si>
    <t xml:space="preserve">2095</t>
  </si>
  <si>
    <t xml:space="preserve">Shankar Parvati Industries</t>
  </si>
  <si>
    <t xml:space="preserve">2096</t>
  </si>
  <si>
    <t xml:space="preserve">Shankar Rice &amp; Gen. Mills</t>
  </si>
  <si>
    <t xml:space="preserve">2097</t>
  </si>
  <si>
    <t xml:space="preserve">Shankar Rice Mill</t>
  </si>
  <si>
    <t xml:space="preserve">2098</t>
  </si>
  <si>
    <t xml:space="preserve">Shankara Vehicles Pvt. Ltd.</t>
  </si>
  <si>
    <t xml:space="preserve">2099</t>
  </si>
  <si>
    <t xml:space="preserve">Shankaranarayan Jewellers</t>
  </si>
  <si>
    <t xml:space="preserve">2100</t>
  </si>
  <si>
    <t xml:space="preserve">Shankha Deep Exports Pvt. Ltd.</t>
  </si>
  <si>
    <t xml:space="preserve">15 Jul 2024</t>
  </si>
  <si>
    <t xml:space="preserve">2101</t>
  </si>
  <si>
    <t xml:space="preserve">Shantai Exim Limited</t>
  </si>
  <si>
    <t xml:space="preserve">2102</t>
  </si>
  <si>
    <t xml:space="preserve">Shantesha Motors Private Limited</t>
  </si>
  <si>
    <t xml:space="preserve">2103</t>
  </si>
  <si>
    <t xml:space="preserve">Shantha Trust</t>
  </si>
  <si>
    <t xml:space="preserve">2104</t>
  </si>
  <si>
    <t xml:space="preserve">Shanti Educational Trust</t>
  </si>
  <si>
    <t xml:space="preserve">2105</t>
  </si>
  <si>
    <t xml:space="preserve">Shanti Gopal Concast Limited</t>
  </si>
  <si>
    <t xml:space="preserve">2106</t>
  </si>
  <si>
    <t xml:space="preserve">Shanti Parboiling Industries</t>
  </si>
  <si>
    <t xml:space="preserve">2107</t>
  </si>
  <si>
    <t xml:space="preserve">Sharanamma Diggavi Memorial Educational Trust</t>
  </si>
  <si>
    <t xml:space="preserve">19 Jan 2017</t>
  </si>
  <si>
    <t xml:space="preserve">2108</t>
  </si>
  <si>
    <t xml:space="preserve">Sharda Timbers</t>
  </si>
  <si>
    <t xml:space="preserve">2109</t>
  </si>
  <si>
    <t xml:space="preserve">Sharp Travels (India) Limited</t>
  </si>
  <si>
    <t xml:space="preserve">2110</t>
  </si>
  <si>
    <t xml:space="preserve">Sharpline Automation Private Limited</t>
  </si>
  <si>
    <t xml:space="preserve">2111</t>
  </si>
  <si>
    <t xml:space="preserve">Sharu Steels (P) Ltd.</t>
  </si>
  <si>
    <t xml:space="preserve">2112</t>
  </si>
  <si>
    <t xml:space="preserve">Sheel Diamond Exports Private Limited</t>
  </si>
  <si>
    <t xml:space="preserve">2113</t>
  </si>
  <si>
    <t xml:space="preserve">Sheel Gems</t>
  </si>
  <si>
    <t xml:space="preserve">2114</t>
  </si>
  <si>
    <t xml:space="preserve">Sheen Agri Fresh Private Limited</t>
  </si>
  <si>
    <t xml:space="preserve">27 Dec 2024</t>
  </si>
  <si>
    <t xml:space="preserve">2115</t>
  </si>
  <si>
    <t xml:space="preserve">Shell Apparels Private Limited</t>
  </si>
  <si>
    <t xml:space="preserve">17 Apr 2017</t>
  </si>
  <si>
    <t xml:space="preserve">2116</t>
  </si>
  <si>
    <t xml:space="preserve">Sheth Ship Breaking Corporation</t>
  </si>
  <si>
    <t xml:space="preserve">2117</t>
  </si>
  <si>
    <t xml:space="preserve">Shiga Energy Private Limited</t>
  </si>
  <si>
    <t xml:space="preserve">2118</t>
  </si>
  <si>
    <t xml:space="preserve">Shilpi Cable Technologies Limited</t>
  </si>
  <si>
    <t xml:space="preserve">2119</t>
  </si>
  <si>
    <t xml:space="preserve">Shimla Tolls and Projects Pvt. Ltd.</t>
  </si>
  <si>
    <t xml:space="preserve">2120</t>
  </si>
  <si>
    <t xml:space="preserve">Shirdiwale Sai Exim Private Limited</t>
  </si>
  <si>
    <t xml:space="preserve">2121</t>
  </si>
  <si>
    <t xml:space="preserve">Shirpur-Warvade Municipal Council</t>
  </si>
  <si>
    <t xml:space="preserve">2122</t>
  </si>
  <si>
    <t xml:space="preserve">Shitaram Industries</t>
  </si>
  <si>
    <t xml:space="preserve">2123</t>
  </si>
  <si>
    <t xml:space="preserve">Shiv Biri Manufacturing Co. Private Limited</t>
  </si>
  <si>
    <t xml:space="preserve">14 Dec 2022</t>
  </si>
  <si>
    <t xml:space="preserve">2124</t>
  </si>
  <si>
    <t xml:space="preserve">Shiv Cotton Industries- Tankara</t>
  </si>
  <si>
    <t xml:space="preserve">2125</t>
  </si>
  <si>
    <t xml:space="preserve">shiv kripa build estate pvt ltd</t>
  </si>
  <si>
    <t xml:space="preserve">13 Apr 2020</t>
  </si>
  <si>
    <t xml:space="preserve">2126</t>
  </si>
  <si>
    <t xml:space="preserve">Shiv Sai Metal Products Private Limited</t>
  </si>
  <si>
    <t xml:space="preserve">2127</t>
  </si>
  <si>
    <t xml:space="preserve">Shiv Shakti Enterprise</t>
  </si>
  <si>
    <t xml:space="preserve">2128</t>
  </si>
  <si>
    <t xml:space="preserve">Shiv Shakti Industries</t>
  </si>
  <si>
    <t xml:space="preserve">2129</t>
  </si>
  <si>
    <t xml:space="preserve">Shiv Vegpro Private Limited</t>
  </si>
  <si>
    <t xml:space="preserve">2130</t>
  </si>
  <si>
    <t xml:space="preserve">Shiva Ferric Pvt Ltd</t>
  </si>
  <si>
    <t xml:space="preserve">2131</t>
  </si>
  <si>
    <t xml:space="preserve">Shiva Polytubes Pvt. Ltd.</t>
  </si>
  <si>
    <t xml:space="preserve">2132</t>
  </si>
  <si>
    <t xml:space="preserve">Shiva Structures Pvt Ltd</t>
  </si>
  <si>
    <t xml:space="preserve">2133</t>
  </si>
  <si>
    <t xml:space="preserve">Shivalaya Bhandara Highways Private Limited</t>
  </si>
  <si>
    <t xml:space="preserve">2134</t>
  </si>
  <si>
    <t xml:space="preserve">22 Dec 2020</t>
  </si>
  <si>
    <t xml:space="preserve">2135</t>
  </si>
  <si>
    <t xml:space="preserve">Shivalaya Nagpur Highways Private Limited</t>
  </si>
  <si>
    <t xml:space="preserve">2136</t>
  </si>
  <si>
    <t xml:space="preserve">2137</t>
  </si>
  <si>
    <t xml:space="preserve">Shivam Concrete Technology &amp; Consultancy Pvt. Ltd.</t>
  </si>
  <si>
    <t xml:space="preserve">2138</t>
  </si>
  <si>
    <t xml:space="preserve">Shivam Cottex</t>
  </si>
  <si>
    <t xml:space="preserve">04 Oct 2019</t>
  </si>
  <si>
    <t xml:space="preserve">2139</t>
  </si>
  <si>
    <t xml:space="preserve">Shivam Hi Tech Steels Pvt. Ltd</t>
  </si>
  <si>
    <t xml:space="preserve">2140</t>
  </si>
  <si>
    <t xml:space="preserve">Shivam Motors Private Limited</t>
  </si>
  <si>
    <t xml:space="preserve">2141</t>
  </si>
  <si>
    <t xml:space="preserve">Shivam Pipe Industries</t>
  </si>
  <si>
    <t xml:space="preserve">2142</t>
  </si>
  <si>
    <t xml:space="preserve">Shivam Transport Company</t>
  </si>
  <si>
    <t xml:space="preserve">2143</t>
  </si>
  <si>
    <t xml:space="preserve">Shivangan Food and Pharma Products Private Limited</t>
  </si>
  <si>
    <t xml:space="preserve">2144</t>
  </si>
  <si>
    <t xml:space="preserve">Shivay Minerals</t>
  </si>
  <si>
    <t xml:space="preserve">2145</t>
  </si>
  <si>
    <t xml:space="preserve">Shivshakti Realhome Private Limited</t>
  </si>
  <si>
    <t xml:space="preserve">2146</t>
  </si>
  <si>
    <t xml:space="preserve">SHL Agro Foods Inc</t>
  </si>
  <si>
    <t xml:space="preserve">2147</t>
  </si>
  <si>
    <t xml:space="preserve">Shm Shipcare Private Limited (Formerly known as Shm Shipcare)</t>
  </si>
  <si>
    <t xml:space="preserve">2148</t>
  </si>
  <si>
    <t xml:space="preserve">Shobhaglobs Engineers Hub Pvt Ltd</t>
  </si>
  <si>
    <t xml:space="preserve">2149</t>
  </si>
  <si>
    <t xml:space="preserve">Showtime Entertainment Private Limited</t>
  </si>
  <si>
    <t xml:space="preserve">2150</t>
  </si>
  <si>
    <t xml:space="preserve">Shraddha Energy and Infraprojects Pvt. Ltd</t>
  </si>
  <si>
    <t xml:space="preserve">27 Oct 2022</t>
  </si>
  <si>
    <t xml:space="preserve">2151</t>
  </si>
  <si>
    <t xml:space="preserve">Shraddha Synthetics Private Limited</t>
  </si>
  <si>
    <t xml:space="preserve">2152</t>
  </si>
  <si>
    <t xml:space="preserve">Shree Ambika Sugars Limited</t>
  </si>
  <si>
    <t xml:space="preserve">2153</t>
  </si>
  <si>
    <t xml:space="preserve">Shree Balaji Ice and Cold Storage</t>
  </si>
  <si>
    <t xml:space="preserve">2154</t>
  </si>
  <si>
    <t xml:space="preserve">Shree Balaji Plastic</t>
  </si>
  <si>
    <t xml:space="preserve">13 Sep 2021</t>
  </si>
  <si>
    <t xml:space="preserve">2155</t>
  </si>
  <si>
    <t xml:space="preserve">Shree Bhagwati Agrotech Pvt. Ltd.</t>
  </si>
  <si>
    <t xml:space="preserve">2156</t>
  </si>
  <si>
    <t xml:space="preserve">Shree Bhagyalaxmi Industries</t>
  </si>
  <si>
    <t xml:space="preserve">2157</t>
  </si>
  <si>
    <t xml:space="preserve">Shree Bhavani Rice Mill</t>
  </si>
  <si>
    <t xml:space="preserve">2158</t>
  </si>
  <si>
    <t xml:space="preserve">Shree Chhatrapati Shahu Milk and Agro Producer Company Limited</t>
  </si>
  <si>
    <t xml:space="preserve">2159</t>
  </si>
  <si>
    <t xml:space="preserve">Shree Cotex</t>
  </si>
  <si>
    <t xml:space="preserve">29 Jan 2020</t>
  </si>
  <si>
    <t xml:space="preserve">2160</t>
  </si>
  <si>
    <t xml:space="preserve">Shree Ganesh Cotton Industries-Rajkot</t>
  </si>
  <si>
    <t xml:space="preserve">2161</t>
  </si>
  <si>
    <t xml:space="preserve">Shree Gauri Rice Mill Private Limited</t>
  </si>
  <si>
    <t xml:space="preserve">2162</t>
  </si>
  <si>
    <t xml:space="preserve">Shree Gopinathji Agencies</t>
  </si>
  <si>
    <t xml:space="preserve">2163</t>
  </si>
  <si>
    <t xml:space="preserve">Shree Gopinathji Cars Pvt. Ltd.</t>
  </si>
  <si>
    <t xml:space="preserve">03 Jul 2018</t>
  </si>
  <si>
    <t xml:space="preserve">2164</t>
  </si>
  <si>
    <t xml:space="preserve">Shree Govardhan Steels Private Limited</t>
  </si>
  <si>
    <t xml:space="preserve">2165</t>
  </si>
  <si>
    <t xml:space="preserve">Shree Govindam Prime Foods Pvt. Ltd</t>
  </si>
  <si>
    <t xml:space="preserve">2166</t>
  </si>
  <si>
    <t xml:space="preserve">Shree Guru Nanak Dev Rice Mills</t>
  </si>
  <si>
    <t xml:space="preserve">2167</t>
  </si>
  <si>
    <t xml:space="preserve">Shree Hans Rice and General Mills</t>
  </si>
  <si>
    <t xml:space="preserve">2168</t>
  </si>
  <si>
    <t xml:space="preserve">Shree Hanuman Trust</t>
  </si>
  <si>
    <t xml:space="preserve">2169</t>
  </si>
  <si>
    <t xml:space="preserve">Shree Harikrushna Cotton Industries</t>
  </si>
  <si>
    <t xml:space="preserve">2170</t>
  </si>
  <si>
    <t xml:space="preserve">Shree Jagdamba Poultry Private Limited</t>
  </si>
  <si>
    <t xml:space="preserve">2171</t>
  </si>
  <si>
    <t xml:space="preserve">Shree Kaushalya Fibers</t>
  </si>
  <si>
    <t xml:space="preserve">2172</t>
  </si>
  <si>
    <t xml:space="preserve">Shree Khodal Cot-gin Pvt. Ltd.</t>
  </si>
  <si>
    <t xml:space="preserve">2173</t>
  </si>
  <si>
    <t xml:space="preserve">Shree Khodiyar Oil Industries</t>
  </si>
  <si>
    <t xml:space="preserve">2174</t>
  </si>
  <si>
    <t xml:space="preserve">Shree Krishna Rice Mills</t>
  </si>
  <si>
    <t xml:space="preserve">18 Dec 2017</t>
  </si>
  <si>
    <t xml:space="preserve">2175</t>
  </si>
  <si>
    <t xml:space="preserve">Shree Krishna Stevedores Private Limited</t>
  </si>
  <si>
    <t xml:space="preserve">26 Aug 2022</t>
  </si>
  <si>
    <t xml:space="preserve">2176</t>
  </si>
  <si>
    <t xml:space="preserve">Shree Laxmi Guar Gum Industries</t>
  </si>
  <si>
    <t xml:space="preserve">2177</t>
  </si>
  <si>
    <t xml:space="preserve">Shree Laxmi Lal Patel</t>
  </si>
  <si>
    <t xml:space="preserve">18 Jul 2018</t>
  </si>
  <si>
    <t xml:space="preserve">2178</t>
  </si>
  <si>
    <t xml:space="preserve">Shree Madhav Agencies Pvt Ltd</t>
  </si>
  <si>
    <t xml:space="preserve">2179</t>
  </si>
  <si>
    <t xml:space="preserve">Shree Murugan Flour Mills (P) Ltd</t>
  </si>
  <si>
    <t xml:space="preserve">2180</t>
  </si>
  <si>
    <t xml:space="preserve">Shree Navkar Tex Creations (erstwhile Navkar Tex Creations)</t>
  </si>
  <si>
    <t xml:space="preserve">2181</t>
  </si>
  <si>
    <t xml:space="preserve">Shree Oshiya Strips Impex Private Limited</t>
  </si>
  <si>
    <t xml:space="preserve">2182</t>
  </si>
  <si>
    <t xml:space="preserve">Shree Raghuvanshi Fibers Private Limited</t>
  </si>
  <si>
    <t xml:space="preserve">2183</t>
  </si>
  <si>
    <t xml:space="preserve">Shree Raj Mahal Diamonds Pvt. Ltd</t>
  </si>
  <si>
    <t xml:space="preserve">2184</t>
  </si>
  <si>
    <t xml:space="preserve">Shree Rajendra Agro Industries</t>
  </si>
  <si>
    <t xml:space="preserve">2185</t>
  </si>
  <si>
    <t xml:space="preserve">Shree Ram Cottex Industries Private Limited</t>
  </si>
  <si>
    <t xml:space="preserve">2186</t>
  </si>
  <si>
    <t xml:space="preserve">Shree Ram Cotton Industries (Tankara)</t>
  </si>
  <si>
    <t xml:space="preserve">2187</t>
  </si>
  <si>
    <t xml:space="preserve">Shree Ram Kripa Buildhome Private Limited</t>
  </si>
  <si>
    <t xml:space="preserve">2188</t>
  </si>
  <si>
    <t xml:space="preserve">Shree Ram Proteins Limited</t>
  </si>
  <si>
    <t xml:space="preserve">13 Dec 2023</t>
  </si>
  <si>
    <t xml:space="preserve">2189</t>
  </si>
  <si>
    <t xml:space="preserve">Shree Ram Pulse Mills</t>
  </si>
  <si>
    <t xml:space="preserve">10 Feb 2020</t>
  </si>
  <si>
    <t xml:space="preserve">2190</t>
  </si>
  <si>
    <t xml:space="preserve">Shree Ram Rayon - Surat</t>
  </si>
  <si>
    <t xml:space="preserve">2191</t>
  </si>
  <si>
    <t xml:space="preserve">Shree Santosh Cotton Spin Pvt. Ltd.</t>
  </si>
  <si>
    <t xml:space="preserve">2192</t>
  </si>
  <si>
    <t xml:space="preserve">Shree Shakti Agro Industries</t>
  </si>
  <si>
    <t xml:space="preserve">2193</t>
  </si>
  <si>
    <t xml:space="preserve">Shree Shakti Construction</t>
  </si>
  <si>
    <t xml:space="preserve">2194</t>
  </si>
  <si>
    <t xml:space="preserve">Shree Shyam Designs Pvt. Ltd.</t>
  </si>
  <si>
    <t xml:space="preserve">2195</t>
  </si>
  <si>
    <t xml:space="preserve">Shree Shyam Sponge &amp; Power Limited</t>
  </si>
  <si>
    <t xml:space="preserve">23 Mar 2020</t>
  </si>
  <si>
    <t xml:space="preserve">2196</t>
  </si>
  <si>
    <t xml:space="preserve">Shree Siddhnath Cotex Private Limited</t>
  </si>
  <si>
    <t xml:space="preserve">2197</t>
  </si>
  <si>
    <t xml:space="preserve">Shree Somnath Iron And Power Private Limited</t>
  </si>
  <si>
    <t xml:space="preserve">2198</t>
  </si>
  <si>
    <t xml:space="preserve">Shree Umavanshi Industries</t>
  </si>
  <si>
    <t xml:space="preserve">2199</t>
  </si>
  <si>
    <t xml:space="preserve">Shree Umiya Cotspin Pvt. Ltd.</t>
  </si>
  <si>
    <t xml:space="preserve">2200</t>
  </si>
  <si>
    <t xml:space="preserve">Shree Vishwakarma Builders</t>
  </si>
  <si>
    <t xml:space="preserve">2201</t>
  </si>
  <si>
    <t xml:space="preserve">Shree Yamuna Ginning and Pressing Factory</t>
  </si>
  <si>
    <t xml:space="preserve">2202</t>
  </si>
  <si>
    <t xml:space="preserve">Shreegopal Gobind Agro Tech Private Limited</t>
  </si>
  <si>
    <t xml:space="preserve">11 Oct 2018</t>
  </si>
  <si>
    <t xml:space="preserve">2203</t>
  </si>
  <si>
    <t xml:space="preserve">Shreeji Construction</t>
  </si>
  <si>
    <t xml:space="preserve">06 Jun 2017</t>
  </si>
  <si>
    <t xml:space="preserve">2204</t>
  </si>
  <si>
    <t xml:space="preserve">Shreeji Cotton Industries</t>
  </si>
  <si>
    <t xml:space="preserve">2205</t>
  </si>
  <si>
    <t xml:space="preserve">Shreenathji Cotgin Private Limited</t>
  </si>
  <si>
    <t xml:space="preserve">2206</t>
  </si>
  <si>
    <t xml:space="preserve">Shreepati Castle</t>
  </si>
  <si>
    <t xml:space="preserve">2207</t>
  </si>
  <si>
    <t xml:space="preserve">Shreeram and Sons</t>
  </si>
  <si>
    <t xml:space="preserve">2208</t>
  </si>
  <si>
    <t xml:space="preserve">Shreyans Oils Limited</t>
  </si>
  <si>
    <t xml:space="preserve">2209</t>
  </si>
  <si>
    <t xml:space="preserve">Shri Balaji Industries</t>
  </si>
  <si>
    <t xml:space="preserve">2210</t>
  </si>
  <si>
    <t xml:space="preserve">Shri Balaji Literary &amp; Charitable Society Bahra Group of Institutions</t>
  </si>
  <si>
    <t xml:space="preserve">2211</t>
  </si>
  <si>
    <t xml:space="preserve">Shri Banke Bihari Polyfab Pvt Ltd</t>
  </si>
  <si>
    <t xml:space="preserve">2212</t>
  </si>
  <si>
    <t xml:space="preserve">Shri Darshana Industries</t>
  </si>
  <si>
    <t xml:space="preserve">2213</t>
  </si>
  <si>
    <t xml:space="preserve">Shri Ganesh Fire Equipments (P) Limited</t>
  </si>
  <si>
    <t xml:space="preserve">19 Feb 2020</t>
  </si>
  <si>
    <t xml:space="preserve">2214</t>
  </si>
  <si>
    <t xml:space="preserve">Shri Ganesh Industries</t>
  </si>
  <si>
    <t xml:space="preserve">25 Jan 2019</t>
  </si>
  <si>
    <t xml:space="preserve">2215</t>
  </si>
  <si>
    <t xml:space="preserve">Shri Hari Group</t>
  </si>
  <si>
    <t xml:space="preserve">2216</t>
  </si>
  <si>
    <t xml:space="preserve">Shri Haridarshan Jewellers</t>
  </si>
  <si>
    <t xml:space="preserve">11 May 2018</t>
  </si>
  <si>
    <t xml:space="preserve">2217</t>
  </si>
  <si>
    <t xml:space="preserve">Shri Krishna Agro Industries</t>
  </si>
  <si>
    <t xml:space="preserve">2218</t>
  </si>
  <si>
    <t xml:space="preserve">Shri Krishna Autosales Private Limited</t>
  </si>
  <si>
    <t xml:space="preserve">09 Jun 2020</t>
  </si>
  <si>
    <t xml:space="preserve">2219</t>
  </si>
  <si>
    <t xml:space="preserve">Shri Laxminarayan Chemical &amp; Fertilizers Private Limited</t>
  </si>
  <si>
    <t xml:space="preserve">2220</t>
  </si>
  <si>
    <t xml:space="preserve">Shri Ram Rice Mill</t>
  </si>
  <si>
    <t xml:space="preserve">2221</t>
  </si>
  <si>
    <t xml:space="preserve">Shri Ram Rice Mills</t>
  </si>
  <si>
    <t xml:space="preserve">2222</t>
  </si>
  <si>
    <t xml:space="preserve">Shri Ram Rolling Mill</t>
  </si>
  <si>
    <t xml:space="preserve">2223</t>
  </si>
  <si>
    <t xml:space="preserve">Shri Ram Switchgears Limited</t>
  </si>
  <si>
    <t xml:space="preserve">28 Apr 2021</t>
  </si>
  <si>
    <t xml:space="preserve">2224</t>
  </si>
  <si>
    <t xml:space="preserve">Shri Senthur Velan Infras</t>
  </si>
  <si>
    <t xml:space="preserve">2225</t>
  </si>
  <si>
    <t xml:space="preserve">Shri Shyamji Agrico Exports Private Limited</t>
  </si>
  <si>
    <t xml:space="preserve">2226</t>
  </si>
  <si>
    <t xml:space="preserve">Shri Siddhbali Agro Industries</t>
  </si>
  <si>
    <t xml:space="preserve">2227</t>
  </si>
  <si>
    <t xml:space="preserve">Shri Sode Vadiraja Mutt Education Trust</t>
  </si>
  <si>
    <t xml:space="preserve">2228</t>
  </si>
  <si>
    <t xml:space="preserve">Shri Tradco Deesan Private Limited</t>
  </si>
  <si>
    <t xml:space="preserve">2229</t>
  </si>
  <si>
    <t xml:space="preserve">Shri Tradco India Private Limited</t>
  </si>
  <si>
    <t xml:space="preserve">2230</t>
  </si>
  <si>
    <t xml:space="preserve">Shri Tulsi Oil Products</t>
  </si>
  <si>
    <t xml:space="preserve">2231</t>
  </si>
  <si>
    <t xml:space="preserve">Shrikishan &amp; Company</t>
  </si>
  <si>
    <t xml:space="preserve">2232</t>
  </si>
  <si>
    <t xml:space="preserve">Shriman Enterprises</t>
  </si>
  <si>
    <t xml:space="preserve">2233</t>
  </si>
  <si>
    <t xml:space="preserve">Shrinet and Shandilya Construction Private Limited</t>
  </si>
  <si>
    <t xml:space="preserve">2234</t>
  </si>
  <si>
    <t xml:space="preserve">Shrinivas (Gujarat) Laboratories Private Limited</t>
  </si>
  <si>
    <t xml:space="preserve">26 Nov 2018</t>
  </si>
  <si>
    <t xml:space="preserve">2235</t>
  </si>
  <si>
    <t xml:space="preserve">Shrinivasa Cattle Feeds Private Limited</t>
  </si>
  <si>
    <t xml:space="preserve">11 Jan 2023</t>
  </si>
  <si>
    <t xml:space="preserve">2236</t>
  </si>
  <si>
    <t xml:space="preserve">Shriniwas Board &amp; Paper Private Limited</t>
  </si>
  <si>
    <t xml:space="preserve">2237</t>
  </si>
  <si>
    <t xml:space="preserve">Shriram SEPL Composites Private Limited</t>
  </si>
  <si>
    <t xml:space="preserve">2238</t>
  </si>
  <si>
    <t xml:space="preserve">Shriramkrupa Fibers</t>
  </si>
  <si>
    <t xml:space="preserve">2239</t>
  </si>
  <si>
    <t xml:space="preserve">Shrishti Technologies</t>
  </si>
  <si>
    <t xml:space="preserve">2240</t>
  </si>
  <si>
    <t xml:space="preserve">Shrivardhman Milk Dairy Private Limited</t>
  </si>
  <si>
    <t xml:space="preserve">2241</t>
  </si>
  <si>
    <t xml:space="preserve">Shrividya Education Foundation</t>
  </si>
  <si>
    <t xml:space="preserve">2242</t>
  </si>
  <si>
    <t xml:space="preserve">Shruthi Milk Products (P) Ltd</t>
  </si>
  <si>
    <t xml:space="preserve">2243</t>
  </si>
  <si>
    <t xml:space="preserve">Shubh Motors Private Limited</t>
  </si>
  <si>
    <t xml:space="preserve">27 Sep 2024</t>
  </si>
  <si>
    <t xml:space="preserve">2244</t>
  </si>
  <si>
    <t xml:space="preserve">Shubh Swastik Dal Mill Co. Pvt. Ltd.</t>
  </si>
  <si>
    <t xml:space="preserve">2245</t>
  </si>
  <si>
    <t xml:space="preserve">Shubhjivan Developers LLP</t>
  </si>
  <si>
    <t xml:space="preserve">2246</t>
  </si>
  <si>
    <t xml:space="preserve">Shunty Bunty Automobiles Private Limited</t>
  </si>
  <si>
    <t xml:space="preserve">2247</t>
  </si>
  <si>
    <t xml:space="preserve">Shyam Cottex</t>
  </si>
  <si>
    <t xml:space="preserve">2248</t>
  </si>
  <si>
    <t xml:space="preserve">Shyam Textiles Limited</t>
  </si>
  <si>
    <t xml:space="preserve">30 Nov 2020</t>
  </si>
  <si>
    <t xml:space="preserve">2249</t>
  </si>
  <si>
    <t xml:space="preserve">SICAL CONNECT LIMITED</t>
  </si>
  <si>
    <t xml:space="preserve">29 Apr 2022</t>
  </si>
  <si>
    <t xml:space="preserve">2250</t>
  </si>
  <si>
    <t xml:space="preserve">Sical Iron ore Terminals Limited</t>
  </si>
  <si>
    <t xml:space="preserve">2251</t>
  </si>
  <si>
    <t xml:space="preserve">Sical Logistics Limited</t>
  </si>
  <si>
    <t xml:space="preserve">2252</t>
  </si>
  <si>
    <t xml:space="preserve">SICAL LOGIXPRESS PRIVATE LIMITED</t>
  </si>
  <si>
    <t xml:space="preserve">2253</t>
  </si>
  <si>
    <t xml:space="preserve">Sical Saumya Mining Limited</t>
  </si>
  <si>
    <t xml:space="preserve">2254</t>
  </si>
  <si>
    <t xml:space="preserve">Siddarth Intercrafts Private Limited</t>
  </si>
  <si>
    <t xml:space="preserve">2255</t>
  </si>
  <si>
    <t xml:space="preserve">Siddarth Organisation</t>
  </si>
  <si>
    <t xml:space="preserve">2256</t>
  </si>
  <si>
    <t xml:space="preserve">Siddarth Organisation Limited</t>
  </si>
  <si>
    <t xml:space="preserve">2257</t>
  </si>
  <si>
    <t xml:space="preserve">Siddeshwar Multipurpose Heemghar Private Limited</t>
  </si>
  <si>
    <t xml:space="preserve">2258</t>
  </si>
  <si>
    <t xml:space="preserve">Siddharth Exports</t>
  </si>
  <si>
    <t xml:space="preserve">2259</t>
  </si>
  <si>
    <t xml:space="preserve">Siddhi Industries</t>
  </si>
  <si>
    <t xml:space="preserve">2260</t>
  </si>
  <si>
    <t xml:space="preserve">Siddhivinayak Construction</t>
  </si>
  <si>
    <t xml:space="preserve">2261</t>
  </si>
  <si>
    <t xml:space="preserve">Siddhraj Infrabuild Pvt. Ltd.</t>
  </si>
  <si>
    <t xml:space="preserve">2262</t>
  </si>
  <si>
    <t xml:space="preserve">Siddipet Municipality</t>
  </si>
  <si>
    <t xml:space="preserve">2263</t>
  </si>
  <si>
    <t xml:space="preserve">Sidhi Binayak Infrastructure Private Limited (Formerly known as Sidhi Binayak Infrastructure)</t>
  </si>
  <si>
    <t xml:space="preserve">29 Sep 2021</t>
  </si>
  <si>
    <t xml:space="preserve">2264</t>
  </si>
  <si>
    <t xml:space="preserve">Sidwin Fabric Private Limited</t>
  </si>
  <si>
    <t xml:space="preserve">2265</t>
  </si>
  <si>
    <t xml:space="preserve">Siesta Hospitality Services Limited</t>
  </si>
  <si>
    <t xml:space="preserve">2266</t>
  </si>
  <si>
    <t xml:space="preserve">Siewert and Dholakia Overseas Private Limited</t>
  </si>
  <si>
    <t xml:space="preserve">2267</t>
  </si>
  <si>
    <t xml:space="preserve">Sigma Chemicals</t>
  </si>
  <si>
    <t xml:space="preserve">2268</t>
  </si>
  <si>
    <t xml:space="preserve">Sigma Chemtrade Private Limited</t>
  </si>
  <si>
    <t xml:space="preserve">2269</t>
  </si>
  <si>
    <t xml:space="preserve">Signature Ceramic Pvt. Ltd.</t>
  </si>
  <si>
    <t xml:space="preserve">16 May 2017</t>
  </si>
  <si>
    <t xml:space="preserve">2270</t>
  </si>
  <si>
    <t xml:space="preserve">Siksha 'O' Anusandhan</t>
  </si>
  <si>
    <t xml:space="preserve">31 Jul 2017</t>
  </si>
  <si>
    <t xml:space="preserve">2271</t>
  </si>
  <si>
    <t xml:space="preserve">Silver Cotton</t>
  </si>
  <si>
    <t xml:space="preserve">2272</t>
  </si>
  <si>
    <t xml:space="preserve">Silver Fab Suitings Private Limited</t>
  </si>
  <si>
    <t xml:space="preserve">19 Apr 2017</t>
  </si>
  <si>
    <t xml:space="preserve">2273</t>
  </si>
  <si>
    <t xml:space="preserve">Silverline Investments</t>
  </si>
  <si>
    <t xml:space="preserve">2274</t>
  </si>
  <si>
    <t xml:space="preserve">Simar Port Private Limited</t>
  </si>
  <si>
    <t xml:space="preserve">2275</t>
  </si>
  <si>
    <t xml:space="preserve">Simhapuri Energy Limited (erstwhile Simhapuri Energy Pvt. Ltd.)</t>
  </si>
  <si>
    <t xml:space="preserve">2276</t>
  </si>
  <si>
    <t xml:space="preserve">Simola Tiles LLP</t>
  </si>
  <si>
    <t xml:space="preserve">30 Jun 2021</t>
  </si>
  <si>
    <t xml:space="preserve">2277</t>
  </si>
  <si>
    <t xml:space="preserve">Simola Vitrified Private limited</t>
  </si>
  <si>
    <t xml:space="preserve">2278</t>
  </si>
  <si>
    <t xml:space="preserve">Sindhu Cargo Services Private Limited</t>
  </si>
  <si>
    <t xml:space="preserve">22 May 2018</t>
  </si>
  <si>
    <t xml:space="preserve">2279</t>
  </si>
  <si>
    <t xml:space="preserve">Singh Hindustan Marine Private Limited</t>
  </si>
  <si>
    <t xml:space="preserve">2280</t>
  </si>
  <si>
    <t xml:space="preserve">Singh Transporters</t>
  </si>
  <si>
    <t xml:space="preserve">2281</t>
  </si>
  <si>
    <t xml:space="preserve">Singhal Strips Limited</t>
  </si>
  <si>
    <t xml:space="preserve">2282</t>
  </si>
  <si>
    <t xml:space="preserve">Singhania Enterprises</t>
  </si>
  <si>
    <t xml:space="preserve">2283</t>
  </si>
  <si>
    <t xml:space="preserve">Singla Rice Oil &amp; General Mills</t>
  </si>
  <si>
    <t xml:space="preserve">2284</t>
  </si>
  <si>
    <t xml:space="preserve">Sion Steels</t>
  </si>
  <si>
    <t xml:space="preserve">12 Oct 2018</t>
  </si>
  <si>
    <t xml:space="preserve">2285</t>
  </si>
  <si>
    <t xml:space="preserve">Sipai Industries</t>
  </si>
  <si>
    <t xml:space="preserve">2286</t>
  </si>
  <si>
    <t xml:space="preserve">Sirwar Renewable Energy Private Limited</t>
  </si>
  <si>
    <t xml:space="preserve">10 Nov 2020</t>
  </si>
  <si>
    <t xml:space="preserve">2287</t>
  </si>
  <si>
    <t xml:space="preserve">Sita Polyweave Pvt. Ltd.</t>
  </si>
  <si>
    <t xml:space="preserve">2288</t>
  </si>
  <si>
    <t xml:space="preserve">Sita Ram International LLP</t>
  </si>
  <si>
    <t xml:space="preserve">2289</t>
  </si>
  <si>
    <t xml:space="preserve">Sitaram India Limited</t>
  </si>
  <si>
    <t xml:space="preserve">16 Dec 2019</t>
  </si>
  <si>
    <t xml:space="preserve">2290</t>
  </si>
  <si>
    <t xml:space="preserve">Sitaram Maharaj Sakhar Karkhana (Khardi) Ltd</t>
  </si>
  <si>
    <t xml:space="preserve">2291</t>
  </si>
  <si>
    <t xml:space="preserve">Sivaani Agribusiness Private Limited</t>
  </si>
  <si>
    <t xml:space="preserve">2292</t>
  </si>
  <si>
    <t xml:space="preserve">Siyaram Metal Udyog Private Limited</t>
  </si>
  <si>
    <t xml:space="preserve">2293</t>
  </si>
  <si>
    <t xml:space="preserve">SJVN Thermal Private Limited</t>
  </si>
  <si>
    <t xml:space="preserve">28 Mar 2024</t>
  </si>
  <si>
    <t xml:space="preserve">2294</t>
  </si>
  <si>
    <t xml:space="preserve">SKD Realty LLP</t>
  </si>
  <si>
    <t xml:space="preserve">2295</t>
  </si>
  <si>
    <t xml:space="preserve">SKM Industries</t>
  </si>
  <si>
    <t xml:space="preserve">2296</t>
  </si>
  <si>
    <t xml:space="preserve">SKS Power Generation (Chhattisgarh) Limited</t>
  </si>
  <si>
    <t xml:space="preserve">2297</t>
  </si>
  <si>
    <t xml:space="preserve">Skyla Hospitality Pvt. Ltd.</t>
  </si>
  <si>
    <t xml:space="preserve">2298</t>
  </si>
  <si>
    <t xml:space="preserve">Skyline Foundations and Structures Private Limited</t>
  </si>
  <si>
    <t xml:space="preserve">2299</t>
  </si>
  <si>
    <t xml:space="preserve">SLN CNC Tech Pvt. Ltd.</t>
  </si>
  <si>
    <t xml:space="preserve">2300</t>
  </si>
  <si>
    <t xml:space="preserve">SLN Rice Industries</t>
  </si>
  <si>
    <t xml:space="preserve">2301</t>
  </si>
  <si>
    <t xml:space="preserve">Slv Power Pvt Ltd</t>
  </si>
  <si>
    <t xml:space="preserve">2302</t>
  </si>
  <si>
    <t xml:space="preserve">SM LPG Cylinders Private Limited</t>
  </si>
  <si>
    <t xml:space="preserve">2303</t>
  </si>
  <si>
    <t xml:space="preserve">Smile Ceramic</t>
  </si>
  <si>
    <t xml:space="preserve">2304</t>
  </si>
  <si>
    <t xml:space="preserve">Smile Interiors Pvt. Ltd.</t>
  </si>
  <si>
    <t xml:space="preserve">2305</t>
  </si>
  <si>
    <t xml:space="preserve">Sms Constructions</t>
  </si>
  <si>
    <t xml:space="preserve">14 Nov 2017</t>
  </si>
  <si>
    <t xml:space="preserve">2306</t>
  </si>
  <si>
    <t xml:space="preserve">SMS9 Agro Oils LLP</t>
  </si>
  <si>
    <t xml:space="preserve">2307</t>
  </si>
  <si>
    <t xml:space="preserve">Snam Abrasives Private Limited</t>
  </si>
  <si>
    <t xml:space="preserve">11 Mar 2021</t>
  </si>
  <si>
    <t xml:space="preserve">2308</t>
  </si>
  <si>
    <t xml:space="preserve">SNN Builders Private Limited</t>
  </si>
  <si>
    <t xml:space="preserve">25 Jan 2023</t>
  </si>
  <si>
    <t xml:space="preserve">2309</t>
  </si>
  <si>
    <t xml:space="preserve">Society Of Green Makers Private Limited</t>
  </si>
  <si>
    <t xml:space="preserve">2310</t>
  </si>
  <si>
    <t xml:space="preserve">Sohanlal Laxminarayan</t>
  </si>
  <si>
    <t xml:space="preserve">26 Oct 2021</t>
  </si>
  <si>
    <t xml:space="preserve">2311</t>
  </si>
  <si>
    <t xml:space="preserve">Solar Idea Private Limited</t>
  </si>
  <si>
    <t xml:space="preserve">03 Dec 2020</t>
  </si>
  <si>
    <t xml:space="preserve">2312</t>
  </si>
  <si>
    <t xml:space="preserve">Solid State Systems Private Limited</t>
  </si>
  <si>
    <t xml:space="preserve">2313</t>
  </si>
  <si>
    <t xml:space="preserve">Solidus Hi -Tech Products Private Limited</t>
  </si>
  <si>
    <t xml:space="preserve">2314</t>
  </si>
  <si>
    <t xml:space="preserve">Soma Nutrition Labs Private Limited</t>
  </si>
  <si>
    <t xml:space="preserve">2315</t>
  </si>
  <si>
    <t xml:space="preserve">Somatheeram Ayurvedic Hospital and Yoga Centre Private Limited</t>
  </si>
  <si>
    <t xml:space="preserve">08 Feb 2021</t>
  </si>
  <si>
    <t xml:space="preserve">2316</t>
  </si>
  <si>
    <t xml:space="preserve">Sona Processors (India) Limited</t>
  </si>
  <si>
    <t xml:space="preserve">2317</t>
  </si>
  <si>
    <t xml:space="preserve">Sonal Vyapar Private Limited</t>
  </si>
  <si>
    <t xml:space="preserve">2318</t>
  </si>
  <si>
    <t xml:space="preserve">Sonapur Herbal Centre Private Limited</t>
  </si>
  <si>
    <t xml:space="preserve">2319</t>
  </si>
  <si>
    <t xml:space="preserve">Soneri Marine Foods</t>
  </si>
  <si>
    <t xml:space="preserve">2320</t>
  </si>
  <si>
    <t xml:space="preserve">Sonex Industries</t>
  </si>
  <si>
    <t xml:space="preserve">2321</t>
  </si>
  <si>
    <t xml:space="preserve">Sonhira Sahakari Sakhar Karkhana Ltd.</t>
  </si>
  <si>
    <t xml:space="preserve">2322</t>
  </si>
  <si>
    <t xml:space="preserve">Sonrise Tea Processing Company Private Limited</t>
  </si>
  <si>
    <t xml:space="preserve">2323</t>
  </si>
  <si>
    <t xml:space="preserve">Southern Agencies</t>
  </si>
  <si>
    <t xml:space="preserve">2324</t>
  </si>
  <si>
    <t xml:space="preserve">Southern Power Equipment Company Private Limited</t>
  </si>
  <si>
    <t xml:space="preserve">2325</t>
  </si>
  <si>
    <t xml:space="preserve">Sowparnika Projects And Infrastructure Private Limited</t>
  </si>
  <si>
    <t xml:space="preserve">2326</t>
  </si>
  <si>
    <t xml:space="preserve">Sparron Vitrified Llp</t>
  </si>
  <si>
    <t xml:space="preserve">2327</t>
  </si>
  <si>
    <t xml:space="preserve">SPD Cold Storage LLP</t>
  </si>
  <si>
    <t xml:space="preserve">2328</t>
  </si>
  <si>
    <t xml:space="preserve">SPDD Infra Pvt Ltd</t>
  </si>
  <si>
    <t xml:space="preserve">2329</t>
  </si>
  <si>
    <t xml:space="preserve">Speciality Polymers Private Limited</t>
  </si>
  <si>
    <t xml:space="preserve">2330</t>
  </si>
  <si>
    <t xml:space="preserve">Spectra Auto</t>
  </si>
  <si>
    <t xml:space="preserve">2331</t>
  </si>
  <si>
    <t xml:space="preserve">Spica Projects And Infrastructures Pvt. Ltd.</t>
  </si>
  <si>
    <t xml:space="preserve">2332</t>
  </si>
  <si>
    <t xml:space="preserve">Spice Islands Apparels Limited</t>
  </si>
  <si>
    <t xml:space="preserve">2333</t>
  </si>
  <si>
    <t xml:space="preserve">Spinel Microns</t>
  </si>
  <si>
    <t xml:space="preserve">2334</t>
  </si>
  <si>
    <t xml:space="preserve">Sravan Ftwz Private Limited</t>
  </si>
  <si>
    <t xml:space="preserve">2335</t>
  </si>
  <si>
    <t xml:space="preserve">SRC Chemicals Private Limited</t>
  </si>
  <si>
    <t xml:space="preserve">2336</t>
  </si>
  <si>
    <t xml:space="preserve">Sre Venkatachalapathy Textiles</t>
  </si>
  <si>
    <t xml:space="preserve">2337</t>
  </si>
  <si>
    <t xml:space="preserve">Sree Arulmani Exports</t>
  </si>
  <si>
    <t xml:space="preserve">2338</t>
  </si>
  <si>
    <t xml:space="preserve">Sree Chaitanya Corporation Pvt. Ltd.</t>
  </si>
  <si>
    <t xml:space="preserve">2339</t>
  </si>
  <si>
    <t xml:space="preserve">Sree Geethanjali Constructions</t>
  </si>
  <si>
    <t xml:space="preserve">2340</t>
  </si>
  <si>
    <t xml:space="preserve">Sree Jeyasoundharam Textile Mills Private Limited</t>
  </si>
  <si>
    <t xml:space="preserve">2341</t>
  </si>
  <si>
    <t xml:space="preserve">Sree Kamakshi Raw And Boiled Rice Mill</t>
  </si>
  <si>
    <t xml:space="preserve">2342</t>
  </si>
  <si>
    <t xml:space="preserve">Sree Kiran Enterprises</t>
  </si>
  <si>
    <t xml:space="preserve">01 May 2019</t>
  </si>
  <si>
    <t xml:space="preserve">2343</t>
  </si>
  <si>
    <t xml:space="preserve">Sree Lpg Private Limited</t>
  </si>
  <si>
    <t xml:space="preserve">24 Feb 2022</t>
  </si>
  <si>
    <t xml:space="preserve">2344</t>
  </si>
  <si>
    <t xml:space="preserve">Sree Siva Sankar Automobiles</t>
  </si>
  <si>
    <t xml:space="preserve">2345</t>
  </si>
  <si>
    <t xml:space="preserve">Sree Sudheer Ceramics Private Limited</t>
  </si>
  <si>
    <t xml:space="preserve">26 Nov 2024</t>
  </si>
  <si>
    <t xml:space="preserve">2346</t>
  </si>
  <si>
    <t xml:space="preserve">Sree Venkata Sreedevi Power LLP</t>
  </si>
  <si>
    <t xml:space="preserve">20 Jan 2021</t>
  </si>
  <si>
    <t xml:space="preserve">2347</t>
  </si>
  <si>
    <t xml:space="preserve">Sree Venkateshwara Motors (India) Private Limited</t>
  </si>
  <si>
    <t xml:space="preserve">2348</t>
  </si>
  <si>
    <t xml:space="preserve">Sree Viinayaka Rice Mill</t>
  </si>
  <si>
    <t xml:space="preserve">2349</t>
  </si>
  <si>
    <t xml:space="preserve">Sreelekshmi Cashew Enterprises Private Limited</t>
  </si>
  <si>
    <t xml:space="preserve">2350</t>
  </si>
  <si>
    <t xml:space="preserve">Srg Spinning And Weaving Mills Private Limited</t>
  </si>
  <si>
    <t xml:space="preserve">2351</t>
  </si>
  <si>
    <t xml:space="preserve">Sri Adhitya Polyfilms Pvt. Ltd.</t>
  </si>
  <si>
    <t xml:space="preserve">2352</t>
  </si>
  <si>
    <t xml:space="preserve">Sri Adiparashakti Agro Tech</t>
  </si>
  <si>
    <t xml:space="preserve">2353</t>
  </si>
  <si>
    <t xml:space="preserve">Sri Balaji Agro Cold Storagge Llp</t>
  </si>
  <si>
    <t xml:space="preserve">2354</t>
  </si>
  <si>
    <t xml:space="preserve">Sri Balaji Constructions</t>
  </si>
  <si>
    <t xml:space="preserve">2355</t>
  </si>
  <si>
    <t xml:space="preserve">Sri Balaji Cotton Agro Industries, Adilabad</t>
  </si>
  <si>
    <t xml:space="preserve">2356</t>
  </si>
  <si>
    <t xml:space="preserve">Sri Balaji Educational &amp; Charitable Public Trust</t>
  </si>
  <si>
    <t xml:space="preserve">2357</t>
  </si>
  <si>
    <t xml:space="preserve">Sri Balaji Textiles</t>
  </si>
  <si>
    <t xml:space="preserve">2358</t>
  </si>
  <si>
    <t xml:space="preserve">Sri Buchiyyamma Rice Mill</t>
  </si>
  <si>
    <t xml:space="preserve">2359</t>
  </si>
  <si>
    <t xml:space="preserve">Sri Durga Maruthi Automotive Pvt. Ltd</t>
  </si>
  <si>
    <t xml:space="preserve">22 Feb 2023</t>
  </si>
  <si>
    <t xml:space="preserve">2360</t>
  </si>
  <si>
    <t xml:space="preserve">Sri Gopal Auto Centre</t>
  </si>
  <si>
    <t xml:space="preserve">2361</t>
  </si>
  <si>
    <t xml:space="preserve">Sri Gopal Auto Stores</t>
  </si>
  <si>
    <t xml:space="preserve">2362</t>
  </si>
  <si>
    <t xml:space="preserve">Sri Janardhan Raw And Boiled Rice Mill</t>
  </si>
  <si>
    <t xml:space="preserve">2363</t>
  </si>
  <si>
    <t xml:space="preserve">Sri Jayalakshmi Automotives Pvt. Ltd</t>
  </si>
  <si>
    <t xml:space="preserve">17 Oct 2022</t>
  </si>
  <si>
    <t xml:space="preserve">2364</t>
  </si>
  <si>
    <t xml:space="preserve">Sri Jayarama Automotives Private Limited</t>
  </si>
  <si>
    <t xml:space="preserve">21 Jul 2023</t>
  </si>
  <si>
    <t xml:space="preserve">2365</t>
  </si>
  <si>
    <t xml:space="preserve">Sri Jayarama Motors Private Limited</t>
  </si>
  <si>
    <t xml:space="preserve">2366</t>
  </si>
  <si>
    <t xml:space="preserve">Sri Jyoti Renewable Energy Pvt. Ltd.</t>
  </si>
  <si>
    <t xml:space="preserve">2367</t>
  </si>
  <si>
    <t xml:space="preserve">Sri Kaleeswara Ginning Mills</t>
  </si>
  <si>
    <t xml:space="preserve">2368</t>
  </si>
  <si>
    <t xml:space="preserve">Sri Karpaga Vinayagar Textiles</t>
  </si>
  <si>
    <t xml:space="preserve">2369</t>
  </si>
  <si>
    <t xml:space="preserve">Sri Karpagam Steels</t>
  </si>
  <si>
    <t xml:space="preserve">27 Feb 2018</t>
  </si>
  <si>
    <t xml:space="preserve">2370</t>
  </si>
  <si>
    <t xml:space="preserve">Sri Kodandarama Boiled &amp; Raw Rice Mill</t>
  </si>
  <si>
    <t xml:space="preserve">2371</t>
  </si>
  <si>
    <t xml:space="preserve">Sri Koduri Enterprises Private Limited</t>
  </si>
  <si>
    <t xml:space="preserve">2372</t>
  </si>
  <si>
    <t xml:space="preserve">Sri KPR Industries Limited</t>
  </si>
  <si>
    <t xml:space="preserve">2373</t>
  </si>
  <si>
    <t xml:space="preserve">Sri Kpr Infra &amp; Projects Limited</t>
  </si>
  <si>
    <t xml:space="preserve">2374</t>
  </si>
  <si>
    <t xml:space="preserve">Sri Krishna Kireeti Food Products</t>
  </si>
  <si>
    <t xml:space="preserve">2375</t>
  </si>
  <si>
    <t xml:space="preserve">Sri Krishna Shelters Private Limited</t>
  </si>
  <si>
    <t xml:space="preserve">2376</t>
  </si>
  <si>
    <t xml:space="preserve">Sri Lakshmi Ganapathi Rice Industries</t>
  </si>
  <si>
    <t xml:space="preserve">2377</t>
  </si>
  <si>
    <t xml:space="preserve">Sri Lakshmi Janardhan Rice Industries</t>
  </si>
  <si>
    <t xml:space="preserve">2378</t>
  </si>
  <si>
    <t xml:space="preserve">Sri Lakshmi Poultry Complex Private Limited</t>
  </si>
  <si>
    <t xml:space="preserve">2379</t>
  </si>
  <si>
    <t xml:space="preserve">Sri Lakshmi Poultry Farm</t>
  </si>
  <si>
    <t xml:space="preserve">2380</t>
  </si>
  <si>
    <t xml:space="preserve">Sri Lakshmi Satyanarayana Raw &amp; Boiled Rice Mill</t>
  </si>
  <si>
    <t xml:space="preserve">2381</t>
  </si>
  <si>
    <t xml:space="preserve">Sri Lakshmi Srinivas Parboiled</t>
  </si>
  <si>
    <t xml:space="preserve">2382</t>
  </si>
  <si>
    <t xml:space="preserve">Sri Lakshmi Srinivasa Raw &amp; Boiled Rice Mill</t>
  </si>
  <si>
    <t xml:space="preserve">2383</t>
  </si>
  <si>
    <t xml:space="preserve">Sri Lakshmi Venkateswara Modern Rice Industry</t>
  </si>
  <si>
    <t xml:space="preserve">2384</t>
  </si>
  <si>
    <t xml:space="preserve">Sri Maharaja Industries</t>
  </si>
  <si>
    <t xml:space="preserve">2385</t>
  </si>
  <si>
    <t xml:space="preserve">Sri Maharaja Oil Imports And Exports India Private Limited</t>
  </si>
  <si>
    <t xml:space="preserve">2386</t>
  </si>
  <si>
    <t xml:space="preserve">Sri Maharaja Refineries</t>
  </si>
  <si>
    <t xml:space="preserve">2387</t>
  </si>
  <si>
    <t xml:space="preserve">Sri Manakula Vinayaga Educational Trust</t>
  </si>
  <si>
    <t xml:space="preserve">2388</t>
  </si>
  <si>
    <t xml:space="preserve">Sri Manjunatha Silks</t>
  </si>
  <si>
    <t xml:space="preserve">2389</t>
  </si>
  <si>
    <t xml:space="preserve">Sri Manjunatha Spinning Mills Limited</t>
  </si>
  <si>
    <t xml:space="preserve">2390</t>
  </si>
  <si>
    <t xml:space="preserve">Sri Murari Oil Industries Private Limited</t>
  </si>
  <si>
    <t xml:space="preserve">2391</t>
  </si>
  <si>
    <t xml:space="preserve">Sri Murari Pavan Agrotech</t>
  </si>
  <si>
    <t xml:space="preserve">2392</t>
  </si>
  <si>
    <t xml:space="preserve">Sri MVR Cotton Oil Mills Private Limited</t>
  </si>
  <si>
    <t xml:space="preserve">2393</t>
  </si>
  <si>
    <t xml:space="preserve">Sri Nakoda Construction Limited</t>
  </si>
  <si>
    <t xml:space="preserve">2394</t>
  </si>
  <si>
    <t xml:space="preserve">Sri Narayani Plastics Pvt Ltd</t>
  </si>
  <si>
    <t xml:space="preserve">2395</t>
  </si>
  <si>
    <t xml:space="preserve">Sri Padma Priya Finance Corporation</t>
  </si>
  <si>
    <t xml:space="preserve">15 Feb 2024</t>
  </si>
  <si>
    <t xml:space="preserve">2396</t>
  </si>
  <si>
    <t xml:space="preserve">Sri Padmavathe Agro Cold Storage Llp</t>
  </si>
  <si>
    <t xml:space="preserve">2397</t>
  </si>
  <si>
    <t xml:space="preserve">Sri Radha Krishna Rice Industry</t>
  </si>
  <si>
    <t xml:space="preserve">2398</t>
  </si>
  <si>
    <t xml:space="preserve">Sri Rama Spin Cot</t>
  </si>
  <si>
    <t xml:space="preserve">28 Dec 2017</t>
  </si>
  <si>
    <t xml:space="preserve">2399</t>
  </si>
  <si>
    <t xml:space="preserve">Sri Ramakrishnaa Textiles</t>
  </si>
  <si>
    <t xml:space="preserve">2400</t>
  </si>
  <si>
    <t xml:space="preserve">Sri Sai Agro Industries</t>
  </si>
  <si>
    <t xml:space="preserve">2401</t>
  </si>
  <si>
    <t xml:space="preserve">Sri Sai Balaji Tobaccos Private Limited</t>
  </si>
  <si>
    <t xml:space="preserve">2402</t>
  </si>
  <si>
    <t xml:space="preserve">Sri Sai Earth Movers</t>
  </si>
  <si>
    <t xml:space="preserve">2403</t>
  </si>
  <si>
    <t xml:space="preserve">Sri Sai Industries</t>
  </si>
  <si>
    <t xml:space="preserve">2404</t>
  </si>
  <si>
    <t xml:space="preserve">Sri Sai Shivanagere Solar Power Pvt Ltd</t>
  </si>
  <si>
    <t xml:space="preserve">2405</t>
  </si>
  <si>
    <t xml:space="preserve">Sri Sathyanarayana Education Trust (erstwhile Sri Sathyanarayana Educational Society)</t>
  </si>
  <si>
    <t xml:space="preserve">30 Aug 2018</t>
  </si>
  <si>
    <t xml:space="preserve">2406</t>
  </si>
  <si>
    <t xml:space="preserve">Sri Satya Bhaskara Poultry Farm</t>
  </si>
  <si>
    <t xml:space="preserve">2407</t>
  </si>
  <si>
    <t xml:space="preserve">Sri Sharadha Timbers</t>
  </si>
  <si>
    <t xml:space="preserve">2408</t>
  </si>
  <si>
    <t xml:space="preserve">Sri Shyam Agro Traders</t>
  </si>
  <si>
    <t xml:space="preserve">2409</t>
  </si>
  <si>
    <t xml:space="preserve">Sri Siddhartha Academy of Higher Education</t>
  </si>
  <si>
    <t xml:space="preserve">2410</t>
  </si>
  <si>
    <t xml:space="preserve">Sri Siddirameshwar Agro Industries Private Limited</t>
  </si>
  <si>
    <t xml:space="preserve">2411</t>
  </si>
  <si>
    <t xml:space="preserve">Sri Someshwara Fertilizers &amp; Chemicals</t>
  </si>
  <si>
    <t xml:space="preserve">2412</t>
  </si>
  <si>
    <t xml:space="preserve">Sri Srinivasa Rice Mill (Mahendrawada)</t>
  </si>
  <si>
    <t xml:space="preserve">2413</t>
  </si>
  <si>
    <t xml:space="preserve">Sri Srinivasa Spintex (India) Limited</t>
  </si>
  <si>
    <t xml:space="preserve">07 Apr 2017</t>
  </si>
  <si>
    <t xml:space="preserve">2414</t>
  </si>
  <si>
    <t xml:space="preserve">Sri Subramanyeswara Polymers</t>
  </si>
  <si>
    <t xml:space="preserve">2415</t>
  </si>
  <si>
    <t xml:space="preserve">Sri Sudha Sesamum Agro Foods and Exports Pvt. Ltd.</t>
  </si>
  <si>
    <t xml:space="preserve">2416</t>
  </si>
  <si>
    <t xml:space="preserve">Sri Swetharka Constructions Private Limited</t>
  </si>
  <si>
    <t xml:space="preserve">27 Feb 2023</t>
  </si>
  <si>
    <t xml:space="preserve">2417</t>
  </si>
  <si>
    <t xml:space="preserve">Sri Uma Jewellers India Private Limited</t>
  </si>
  <si>
    <t xml:space="preserve">2418</t>
  </si>
  <si>
    <t xml:space="preserve">Sri V.N.S. Spinning Mills India Private Limited</t>
  </si>
  <si>
    <t xml:space="preserve">2419</t>
  </si>
  <si>
    <t xml:space="preserve">Sri Vaishnavi Spintex (India) Private Ltd.</t>
  </si>
  <si>
    <t xml:space="preserve">2420</t>
  </si>
  <si>
    <t xml:space="preserve">Sri Varun Aqua Enterprises</t>
  </si>
  <si>
    <t xml:space="preserve">17 Dec 2021</t>
  </si>
  <si>
    <t xml:space="preserve">2421</t>
  </si>
  <si>
    <t xml:space="preserve">Sri Varun Logistics Park Private Limited</t>
  </si>
  <si>
    <t xml:space="preserve">2422</t>
  </si>
  <si>
    <t xml:space="preserve">Sri Vasavi Cotton Industries</t>
  </si>
  <si>
    <t xml:space="preserve">2423</t>
  </si>
  <si>
    <t xml:space="preserve">Sri Veera Venkata Satyanarayana Rice Mill</t>
  </si>
  <si>
    <t xml:space="preserve">2424</t>
  </si>
  <si>
    <t xml:space="preserve">Sri Venkata Umashankar Spintex Private Limited</t>
  </si>
  <si>
    <t xml:space="preserve">2425</t>
  </si>
  <si>
    <t xml:space="preserve">Sri Venkateshwara Polymers</t>
  </si>
  <si>
    <t xml:space="preserve">2426</t>
  </si>
  <si>
    <t xml:space="preserve">Sri Venkateshwara Spinning Mills India Private Limited</t>
  </si>
  <si>
    <t xml:space="preserve">29 Mar 2023</t>
  </si>
  <si>
    <t xml:space="preserve">2427</t>
  </si>
  <si>
    <t xml:space="preserve">Sri Venkateswara Aerospace (Private) Limited</t>
  </si>
  <si>
    <t xml:space="preserve">2428</t>
  </si>
  <si>
    <t xml:space="preserve">Sri Venkateswara Fertilisers Private Limited</t>
  </si>
  <si>
    <t xml:space="preserve">2429</t>
  </si>
  <si>
    <t xml:space="preserve">Sri Venkateswara Rice Industries Private Limited</t>
  </si>
  <si>
    <t xml:space="preserve">14 Jun 2019</t>
  </si>
  <si>
    <t xml:space="preserve">2430</t>
  </si>
  <si>
    <t xml:space="preserve">Sri Venkateswara Rice Mill</t>
  </si>
  <si>
    <t xml:space="preserve">2431</t>
  </si>
  <si>
    <t xml:space="preserve">Sri Venkateswara Spintex (P) Ltd</t>
  </si>
  <si>
    <t xml:space="preserve">2432</t>
  </si>
  <si>
    <t xml:space="preserve">Sri Venkateswara Warehousing</t>
  </si>
  <si>
    <t xml:space="preserve">2433</t>
  </si>
  <si>
    <t xml:space="preserve">Sri Vidya Educational And Charitable Trust</t>
  </si>
  <si>
    <t xml:space="preserve">2434</t>
  </si>
  <si>
    <t xml:space="preserve">Sri Vijaya Naga Jyothi Rice Mill (Veeravasaram)</t>
  </si>
  <si>
    <t xml:space="preserve">2435</t>
  </si>
  <si>
    <t xml:space="preserve">Sri Vishnu Priya Finance</t>
  </si>
  <si>
    <t xml:space="preserve">2436</t>
  </si>
  <si>
    <t xml:space="preserve">Sri Vishwa Jyothi Agri Cottons</t>
  </si>
  <si>
    <t xml:space="preserve">15 Dec 2022</t>
  </si>
  <si>
    <t xml:space="preserve">2437</t>
  </si>
  <si>
    <t xml:space="preserve">Srinidhi Real Estate and Constructions</t>
  </si>
  <si>
    <t xml:space="preserve">2438</t>
  </si>
  <si>
    <t xml:space="preserve">Srinivasa Educational Society</t>
  </si>
  <si>
    <t xml:space="preserve">2439</t>
  </si>
  <si>
    <t xml:space="preserve">Srinivasa Educational Trust</t>
  </si>
  <si>
    <t xml:space="preserve">03 Nov 2023</t>
  </si>
  <si>
    <t xml:space="preserve">2440</t>
  </si>
  <si>
    <t xml:space="preserve">Srinivasa Enterprises</t>
  </si>
  <si>
    <t xml:space="preserve">2441</t>
  </si>
  <si>
    <t xml:space="preserve">Srinivasa Enterprises, N. Rambabu</t>
  </si>
  <si>
    <t xml:space="preserve">15 Mar 2024</t>
  </si>
  <si>
    <t xml:space="preserve">2442</t>
  </si>
  <si>
    <t xml:space="preserve">Srinivasa Hair Industries Private Limited (Formerly known as Srinivasa Hair Industries)</t>
  </si>
  <si>
    <t xml:space="preserve">2443</t>
  </si>
  <si>
    <t xml:space="preserve">Srinivasa Sales and Service Pvt. Ltd.</t>
  </si>
  <si>
    <t xml:space="preserve">2444</t>
  </si>
  <si>
    <t xml:space="preserve">Srinivasan Charitable and Educational Trust</t>
  </si>
  <si>
    <t xml:space="preserve">2445</t>
  </si>
  <si>
    <t xml:space="preserve">Srinivasan Health and Educational Trust</t>
  </si>
  <si>
    <t xml:space="preserve">2446</t>
  </si>
  <si>
    <t xml:space="preserve">SRS Healthcare and Research Centre Limited</t>
  </si>
  <si>
    <t xml:space="preserve">2447</t>
  </si>
  <si>
    <t xml:space="preserve">SRS Limited</t>
  </si>
  <si>
    <t xml:space="preserve">2448</t>
  </si>
  <si>
    <t xml:space="preserve">SRV Synthetics</t>
  </si>
  <si>
    <t xml:space="preserve">25 Oct 2024</t>
  </si>
  <si>
    <t xml:space="preserve">2449</t>
  </si>
  <si>
    <t xml:space="preserve">SS Indus Solar Energy Private Limited</t>
  </si>
  <si>
    <t xml:space="preserve">2450</t>
  </si>
  <si>
    <t xml:space="preserve">SSS Rice Mill Private Limited</t>
  </si>
  <si>
    <t xml:space="preserve">2451</t>
  </si>
  <si>
    <t xml:space="preserve">St. Johns Orthodox Church Society (Regd.)</t>
  </si>
  <si>
    <t xml:space="preserve">26 Jun 2023</t>
  </si>
  <si>
    <t xml:space="preserve">2452</t>
  </si>
  <si>
    <t xml:space="preserve">St. Wilfred Education Society</t>
  </si>
  <si>
    <t xml:space="preserve">2453</t>
  </si>
  <si>
    <t xml:space="preserve">Stable Packaging Private Limited</t>
  </si>
  <si>
    <t xml:space="preserve">2454</t>
  </si>
  <si>
    <t xml:space="preserve">Stallion Laboratories Private Limited</t>
  </si>
  <si>
    <t xml:space="preserve">2455</t>
  </si>
  <si>
    <t xml:space="preserve">Standard Retail Private Limited</t>
  </si>
  <si>
    <t xml:space="preserve">18 Jun 2024</t>
  </si>
  <si>
    <t xml:space="preserve">2456</t>
  </si>
  <si>
    <t xml:space="preserve">Star Circlips &amp; Engineering Limited</t>
  </si>
  <si>
    <t xml:space="preserve">2457</t>
  </si>
  <si>
    <t xml:space="preserve">Star Security and Detective Agency</t>
  </si>
  <si>
    <t xml:space="preserve">24 May 2022</t>
  </si>
  <si>
    <t xml:space="preserve">2458</t>
  </si>
  <si>
    <t xml:space="preserve">Starlite Global Enterprises (India) Limited</t>
  </si>
  <si>
    <t xml:space="preserve">26 Mar 2024</t>
  </si>
  <si>
    <t xml:space="preserve">2459</t>
  </si>
  <si>
    <t xml:space="preserve">Status Clothing Company Limited</t>
  </si>
  <si>
    <t xml:space="preserve">20 Sep 2018</t>
  </si>
  <si>
    <t xml:space="preserve">2460</t>
  </si>
  <si>
    <t xml:space="preserve">Steel &amp; Metals</t>
  </si>
  <si>
    <t xml:space="preserve">2461</t>
  </si>
  <si>
    <t xml:space="preserve">Steel Products Limited</t>
  </si>
  <si>
    <t xml:space="preserve">2462</t>
  </si>
  <si>
    <t xml:space="preserve">Steelfab Engineering Corporation</t>
  </si>
  <si>
    <t xml:space="preserve">2463</t>
  </si>
  <si>
    <t xml:space="preserve">Strawberry Studio Exports Private Limited</t>
  </si>
  <si>
    <t xml:space="preserve">2464</t>
  </si>
  <si>
    <t xml:space="preserve">Sturdy Industries Limited</t>
  </si>
  <si>
    <t xml:space="preserve">2465</t>
  </si>
  <si>
    <t xml:space="preserve">Stylin Sanitarywares</t>
  </si>
  <si>
    <t xml:space="preserve">2466</t>
  </si>
  <si>
    <t xml:space="preserve">SU Toll Road Private Limited</t>
  </si>
  <si>
    <t xml:space="preserve">28 Sep 2022</t>
  </si>
  <si>
    <t xml:space="preserve">2467</t>
  </si>
  <si>
    <t xml:space="preserve">Suave Corporation (India) Private Limited</t>
  </si>
  <si>
    <t xml:space="preserve">2468</t>
  </si>
  <si>
    <t xml:space="preserve">Subhang Capsas Pvt. Ltd.</t>
  </si>
  <si>
    <t xml:space="preserve">2469</t>
  </si>
  <si>
    <t xml:space="preserve">Suchirindia Infratech (P) Limited</t>
  </si>
  <si>
    <t xml:space="preserve">30 Nov 2021</t>
  </si>
  <si>
    <t xml:space="preserve">2470</t>
  </si>
  <si>
    <t xml:space="preserve">Sudarshan Infra Projects Private Limited</t>
  </si>
  <si>
    <t xml:space="preserve">2471</t>
  </si>
  <si>
    <t xml:space="preserve">Sudarshan TV Channel Limited</t>
  </si>
  <si>
    <t xml:space="preserve">2472</t>
  </si>
  <si>
    <t xml:space="preserve">Sudha Bio Power Private Limited</t>
  </si>
  <si>
    <t xml:space="preserve">2473</t>
  </si>
  <si>
    <t xml:space="preserve">Sudhakar Plastic Pvt. Ltd.</t>
  </si>
  <si>
    <t xml:space="preserve">2474</t>
  </si>
  <si>
    <t xml:space="preserve">Sudhamsu Exim Private Limited</t>
  </si>
  <si>
    <t xml:space="preserve">2475</t>
  </si>
  <si>
    <t xml:space="preserve">Sudhir Agro Oils Private Limited</t>
  </si>
  <si>
    <t xml:space="preserve">2476</t>
  </si>
  <si>
    <t xml:space="preserve">Sukritha Buildmann Private Limited</t>
  </si>
  <si>
    <t xml:space="preserve">2477</t>
  </si>
  <si>
    <t xml:space="preserve">Suma Foods Private Limited</t>
  </si>
  <si>
    <t xml:space="preserve">2478</t>
  </si>
  <si>
    <t xml:space="preserve">Sumadhura Infracon Private Limited</t>
  </si>
  <si>
    <t xml:space="preserve">21 Apr 2021</t>
  </si>
  <si>
    <t xml:space="preserve">2479</t>
  </si>
  <si>
    <t xml:space="preserve">Suman Proteins Private Limited</t>
  </si>
  <si>
    <t xml:space="preserve">2480</t>
  </si>
  <si>
    <t xml:space="preserve">Summa Real Media Private Limited</t>
  </si>
  <si>
    <t xml:space="preserve">2481</t>
  </si>
  <si>
    <t xml:space="preserve">Sun Enterprise</t>
  </si>
  <si>
    <t xml:space="preserve">26 Nov 2021</t>
  </si>
  <si>
    <t xml:space="preserve">2482</t>
  </si>
  <si>
    <t xml:space="preserve">Sun Hospitality &amp; Service Apartments Private Limited</t>
  </si>
  <si>
    <t xml:space="preserve">2483</t>
  </si>
  <si>
    <t xml:space="preserve">Sun Metallics &amp; Alloys Private Limited</t>
  </si>
  <si>
    <t xml:space="preserve">2484</t>
  </si>
  <si>
    <t xml:space="preserve">Sun Psyllium Industries</t>
  </si>
  <si>
    <t xml:space="preserve">2485</t>
  </si>
  <si>
    <t xml:space="preserve">Sun Shine Builders</t>
  </si>
  <si>
    <t xml:space="preserve">2486</t>
  </si>
  <si>
    <t xml:space="preserve">Sunbeam Real Ventures Pvt Ltd</t>
  </si>
  <si>
    <t xml:space="preserve">2487</t>
  </si>
  <si>
    <t xml:space="preserve">Suncity Synthetics Limited</t>
  </si>
  <si>
    <t xml:space="preserve">2488</t>
  </si>
  <si>
    <t xml:space="preserve">Sundar Timber Products</t>
  </si>
  <si>
    <t xml:space="preserve">2489</t>
  </si>
  <si>
    <t xml:space="preserve">Sunflora Vitrified Pvt. Ltd.</t>
  </si>
  <si>
    <t xml:space="preserve">2490</t>
  </si>
  <si>
    <t xml:space="preserve">Sunglow Suitings Private Limited</t>
  </si>
  <si>
    <t xml:space="preserve">2491</t>
  </si>
  <si>
    <t xml:space="preserve">Sunil And Company</t>
  </si>
  <si>
    <t xml:space="preserve">2492</t>
  </si>
  <si>
    <t xml:space="preserve">Sunil Industries</t>
  </si>
  <si>
    <t xml:space="preserve">2493</t>
  </si>
  <si>
    <t xml:space="preserve">Sunny Enterprises</t>
  </si>
  <si>
    <t xml:space="preserve">2494</t>
  </si>
  <si>
    <t xml:space="preserve">Sunny Exports</t>
  </si>
  <si>
    <t xml:space="preserve">2495</t>
  </si>
  <si>
    <t xml:space="preserve">Sunpack Barrier Films Pvt. Ltd.</t>
  </si>
  <si>
    <t xml:space="preserve">20 Feb 2024</t>
  </si>
  <si>
    <t xml:space="preserve">2496</t>
  </si>
  <si>
    <t xml:space="preserve">Sunrise Seafoods India Private Limited</t>
  </si>
  <si>
    <t xml:space="preserve">2497</t>
  </si>
  <si>
    <t xml:space="preserve">Sunshine Conveyors Private Limited</t>
  </si>
  <si>
    <t xml:space="preserve">2498</t>
  </si>
  <si>
    <t xml:space="preserve">Sunshine Edible Oils</t>
  </si>
  <si>
    <t xml:space="preserve">2499</t>
  </si>
  <si>
    <t xml:space="preserve">Sunshine Exports</t>
  </si>
  <si>
    <t xml:space="preserve">2500</t>
  </si>
  <si>
    <t xml:space="preserve">Sunstar Overseas Limited</t>
  </si>
  <si>
    <t xml:space="preserve">2501</t>
  </si>
  <si>
    <t xml:space="preserve">Sunstar Precision Forge Limited</t>
  </si>
  <si>
    <t xml:space="preserve">27 Mar 2025</t>
  </si>
  <si>
    <t xml:space="preserve">2502</t>
  </si>
  <si>
    <t xml:space="preserve">Suntana Textile Mills Private Limited</t>
  </si>
  <si>
    <t xml:space="preserve">2503</t>
  </si>
  <si>
    <t xml:space="preserve">Sunwatt International Private Limited</t>
  </si>
  <si>
    <t xml:space="preserve">2504</t>
  </si>
  <si>
    <t xml:space="preserve">Sunway Infrastructure Services Limited</t>
  </si>
  <si>
    <t xml:space="preserve">2505</t>
  </si>
  <si>
    <t xml:space="preserve">Sunworld Residency Private Limited</t>
  </si>
  <si>
    <t xml:space="preserve">2506</t>
  </si>
  <si>
    <t xml:space="preserve">Super Psyllium</t>
  </si>
  <si>
    <t xml:space="preserve">2507</t>
  </si>
  <si>
    <t xml:space="preserve">Superfine Aluminium Technologies Pvt.Ltd.</t>
  </si>
  <si>
    <t xml:space="preserve">2508</t>
  </si>
  <si>
    <t xml:space="preserve">Suprabha Protective Products Private Limited</t>
  </si>
  <si>
    <t xml:space="preserve">2509</t>
  </si>
  <si>
    <t xml:space="preserve">Supreme Infra Products</t>
  </si>
  <si>
    <t xml:space="preserve">2510</t>
  </si>
  <si>
    <t xml:space="preserve">Supreme Nutri Grain Private Limited</t>
  </si>
  <si>
    <t xml:space="preserve">2511</t>
  </si>
  <si>
    <t xml:space="preserve">Supreme Solar Systems</t>
  </si>
  <si>
    <t xml:space="preserve">2512</t>
  </si>
  <si>
    <t xml:space="preserve">Supriya Spinning Mills Private Limited</t>
  </si>
  <si>
    <t xml:space="preserve">2513</t>
  </si>
  <si>
    <t xml:space="preserve">Surajbhan Rajkumar Private Limited</t>
  </si>
  <si>
    <t xml:space="preserve">14 Jun 2024</t>
  </si>
  <si>
    <t xml:space="preserve">2514</t>
  </si>
  <si>
    <t xml:space="preserve">Surat Wovensacks Industries Llp</t>
  </si>
  <si>
    <t xml:space="preserve">2515</t>
  </si>
  <si>
    <t xml:space="preserve">Surbhi Ferro Impex Private Limited</t>
  </si>
  <si>
    <t xml:space="preserve">2516</t>
  </si>
  <si>
    <t xml:space="preserve">Suresh Exports</t>
  </si>
  <si>
    <t xml:space="preserve">2517</t>
  </si>
  <si>
    <t xml:space="preserve">Surya Foods</t>
  </si>
  <si>
    <t xml:space="preserve">2518</t>
  </si>
  <si>
    <t xml:space="preserve">Surya Oil &amp; Agro Industries</t>
  </si>
  <si>
    <t xml:space="preserve">2519</t>
  </si>
  <si>
    <t xml:space="preserve">Surya Vikas Plywood Limited</t>
  </si>
  <si>
    <t xml:space="preserve">2520</t>
  </si>
  <si>
    <t xml:space="preserve">Suryansh Metal &amp; Alloys</t>
  </si>
  <si>
    <t xml:space="preserve">2521</t>
  </si>
  <si>
    <t xml:space="preserve">Suryapet Municipality</t>
  </si>
  <si>
    <t xml:space="preserve">2522</t>
  </si>
  <si>
    <t xml:space="preserve">Suryasri Rice Mill</t>
  </si>
  <si>
    <t xml:space="preserve">2523</t>
  </si>
  <si>
    <t xml:space="preserve">Susee Motors (India) Private Limited</t>
  </si>
  <si>
    <t xml:space="preserve">2524</t>
  </si>
  <si>
    <t xml:space="preserve">Susheel Motors Private Limited</t>
  </si>
  <si>
    <t xml:space="preserve">2525</t>
  </si>
  <si>
    <t xml:space="preserve">Suvarna Lakshmi Jewellers</t>
  </si>
  <si>
    <t xml:space="preserve">2526</t>
  </si>
  <si>
    <t xml:space="preserve">Suvidha Realtors and Constructions Pvt Ltd</t>
  </si>
  <si>
    <t xml:space="preserve">2527</t>
  </si>
  <si>
    <t xml:space="preserve">Suyash Polymer</t>
  </si>
  <si>
    <t xml:space="preserve">2528</t>
  </si>
  <si>
    <t xml:space="preserve">Svarn Tex Prints Private Limited</t>
  </si>
  <si>
    <t xml:space="preserve">2529</t>
  </si>
  <si>
    <t xml:space="preserve">SVM Cera Private Limited</t>
  </si>
  <si>
    <t xml:space="preserve">2530</t>
  </si>
  <si>
    <t xml:space="preserve">SVP Builders (I) Limited</t>
  </si>
  <si>
    <t xml:space="preserve">03 Apr 2024</t>
  </si>
  <si>
    <t xml:space="preserve">2531</t>
  </si>
  <si>
    <t xml:space="preserve">SVR Drugs private limited</t>
  </si>
  <si>
    <t xml:space="preserve">2532</t>
  </si>
  <si>
    <t xml:space="preserve">SVR Electricals Private Limited</t>
  </si>
  <si>
    <t xml:space="preserve">2533</t>
  </si>
  <si>
    <t xml:space="preserve">SVR Laboratories Private Limited</t>
  </si>
  <si>
    <t xml:space="preserve">2534</t>
  </si>
  <si>
    <t xml:space="preserve">Svs Constructions</t>
  </si>
  <si>
    <t xml:space="preserve">2535</t>
  </si>
  <si>
    <t xml:space="preserve">SVSVS Projects Private Limited</t>
  </si>
  <si>
    <t xml:space="preserve">2536</t>
  </si>
  <si>
    <t xml:space="preserve">Swadesh Green Infra Limited</t>
  </si>
  <si>
    <t xml:space="preserve">12 Feb 2025</t>
  </si>
  <si>
    <t xml:space="preserve">2537</t>
  </si>
  <si>
    <t xml:space="preserve">Swarnodhayam Credits Private Limited</t>
  </si>
  <si>
    <t xml:space="preserve">29 Jan 2024</t>
  </si>
  <si>
    <t xml:space="preserve">2538</t>
  </si>
  <si>
    <t xml:space="preserve">Swastik Cold Storage</t>
  </si>
  <si>
    <t xml:space="preserve">07 Nov 2017</t>
  </si>
  <si>
    <t xml:space="preserve">2539</t>
  </si>
  <si>
    <t xml:space="preserve">Swastik Enterprise</t>
  </si>
  <si>
    <t xml:space="preserve">2540</t>
  </si>
  <si>
    <t xml:space="preserve">Swastik Polyvinyls Pvt Ltd</t>
  </si>
  <si>
    <t xml:space="preserve">2541</t>
  </si>
  <si>
    <t xml:space="preserve">Swastik Tradelink Private Limited</t>
  </si>
  <si>
    <t xml:space="preserve">2542</t>
  </si>
  <si>
    <t xml:space="preserve">Swastik Traders</t>
  </si>
  <si>
    <t xml:space="preserve">2543</t>
  </si>
  <si>
    <t xml:space="preserve">Swati Ornaments</t>
  </si>
  <si>
    <t xml:space="preserve">2544</t>
  </si>
  <si>
    <t xml:space="preserve">Swayamprabha Udyam &amp; Company</t>
  </si>
  <si>
    <t xml:space="preserve">2545</t>
  </si>
  <si>
    <t xml:space="preserve">Symcom Communication</t>
  </si>
  <si>
    <t xml:space="preserve">2546</t>
  </si>
  <si>
    <t xml:space="preserve">Synco Industries Limited</t>
  </si>
  <si>
    <t xml:space="preserve">2547</t>
  </si>
  <si>
    <t xml:space="preserve">Synnova Ceramic Pvt. Ltd.</t>
  </si>
  <si>
    <t xml:space="preserve">2548</t>
  </si>
  <si>
    <t xml:space="preserve">Syscon Engineers</t>
  </si>
  <si>
    <t xml:space="preserve">19 May 2017</t>
  </si>
  <si>
    <t xml:space="preserve">2549</t>
  </si>
  <si>
    <t xml:space="preserve">T.K. International Limited</t>
  </si>
  <si>
    <t xml:space="preserve">2550</t>
  </si>
  <si>
    <t xml:space="preserve">Tadepalligudem Municipality</t>
  </si>
  <si>
    <t xml:space="preserve">2551</t>
  </si>
  <si>
    <t xml:space="preserve">Tag Corporation</t>
  </si>
  <si>
    <t xml:space="preserve">2552</t>
  </si>
  <si>
    <t xml:space="preserve">Taj Agro Commodities Private Limited</t>
  </si>
  <si>
    <t xml:space="preserve">2553</t>
  </si>
  <si>
    <t xml:space="preserve">Taj Agro Industries Llp</t>
  </si>
  <si>
    <t xml:space="preserve">2554</t>
  </si>
  <si>
    <t xml:space="preserve">Taj Stone Crushers Llp</t>
  </si>
  <si>
    <t xml:space="preserve">2555</t>
  </si>
  <si>
    <t xml:space="preserve">Tamil Nadu Dindigul Karur Expressways Limited (TNDK)</t>
  </si>
  <si>
    <t xml:space="preserve">06 Feb 2025</t>
  </si>
  <si>
    <t xml:space="preserve">2556</t>
  </si>
  <si>
    <t xml:space="preserve">Tamilnadu State Transport Corporation (Kumbakonam) Limited</t>
  </si>
  <si>
    <t xml:space="preserve">2557</t>
  </si>
  <si>
    <t xml:space="preserve">Taneja Vidyut Control Private Limited</t>
  </si>
  <si>
    <t xml:space="preserve">2558</t>
  </si>
  <si>
    <t xml:space="preserve">Tanmay Polyfilms Private Limited</t>
  </si>
  <si>
    <t xml:space="preserve">2559</t>
  </si>
  <si>
    <t xml:space="preserve">Tapti Agro Industries</t>
  </si>
  <si>
    <t xml:space="preserve">2560</t>
  </si>
  <si>
    <t xml:space="preserve">Tara Chand Rice Mills Pvt. Ltd.</t>
  </si>
  <si>
    <t xml:space="preserve">2561</t>
  </si>
  <si>
    <t xml:space="preserve">Tayal Fibers</t>
  </si>
  <si>
    <t xml:space="preserve">2562</t>
  </si>
  <si>
    <t xml:space="preserve">TBPR Infra Projects Private Limited</t>
  </si>
  <si>
    <t xml:space="preserve">2563</t>
  </si>
  <si>
    <t xml:space="preserve">TCS and Associates Private Limited</t>
  </si>
  <si>
    <t xml:space="preserve">2564</t>
  </si>
  <si>
    <t xml:space="preserve">TD Toll Road Private Limited</t>
  </si>
  <si>
    <t xml:space="preserve">30 Mar 2018</t>
  </si>
  <si>
    <t xml:space="preserve">2565</t>
  </si>
  <si>
    <t xml:space="preserve">Team Engineers Advance Technologies India. Pvt. Ltd.</t>
  </si>
  <si>
    <t xml:space="preserve">2566</t>
  </si>
  <si>
    <t xml:space="preserve">Techno India</t>
  </si>
  <si>
    <t xml:space="preserve">2567</t>
  </si>
  <si>
    <t xml:space="preserve">Techser Power Solutions Pvt. Ltd.</t>
  </si>
  <si>
    <t xml:space="preserve">2568</t>
  </si>
  <si>
    <t xml:space="preserve">Teekay Marines Private Limited</t>
  </si>
  <si>
    <t xml:space="preserve">2569</t>
  </si>
  <si>
    <t xml:space="preserve">Tekza Ceramic LLP</t>
  </si>
  <si>
    <t xml:space="preserve">2570</t>
  </si>
  <si>
    <t xml:space="preserve">Telawne Power Equipments Private Limited</t>
  </si>
  <si>
    <t xml:space="preserve">2571</t>
  </si>
  <si>
    <t xml:space="preserve">Tenali Municipality</t>
  </si>
  <si>
    <t xml:space="preserve">2572</t>
  </si>
  <si>
    <t xml:space="preserve">Tenshi Kaizen Private Limited</t>
  </si>
  <si>
    <t xml:space="preserve">31 Oct 2023</t>
  </si>
  <si>
    <t xml:space="preserve">2573</t>
  </si>
  <si>
    <t xml:space="preserve">Terra Energy Limited</t>
  </si>
  <si>
    <t xml:space="preserve">2574</t>
  </si>
  <si>
    <t xml:space="preserve">Texplas India Private Limited</t>
  </si>
  <si>
    <t xml:space="preserve">2575</t>
  </si>
  <si>
    <t xml:space="preserve">Texture Clothing Company</t>
  </si>
  <si>
    <t xml:space="preserve">2576</t>
  </si>
  <si>
    <t xml:space="preserve">Thakar Dass &amp; Co.</t>
  </si>
  <si>
    <t xml:space="preserve">2577</t>
  </si>
  <si>
    <t xml:space="preserve">The Government Tele-communication Employees' Co-Operative Society Limited</t>
  </si>
  <si>
    <t xml:space="preserve">2578</t>
  </si>
  <si>
    <t xml:space="preserve">The Karnataka Handloom Development Corporation Limited</t>
  </si>
  <si>
    <t xml:space="preserve">2579</t>
  </si>
  <si>
    <t xml:space="preserve">The Krishna Sahakari Sakkare Karkhane Niyamit</t>
  </si>
  <si>
    <t xml:space="preserve">2580</t>
  </si>
  <si>
    <t xml:space="preserve">The Mahatma Gandhi Sahakara Sakkare Karkhane</t>
  </si>
  <si>
    <t xml:space="preserve">2581</t>
  </si>
  <si>
    <t xml:space="preserve">The Montfort Educational Society</t>
  </si>
  <si>
    <t xml:space="preserve">27 Dec 2017</t>
  </si>
  <si>
    <t xml:space="preserve">2582</t>
  </si>
  <si>
    <t xml:space="preserve">The South India Paper Mills Limited</t>
  </si>
  <si>
    <t xml:space="preserve">2583</t>
  </si>
  <si>
    <t xml:space="preserve">The Vasista Educational Society</t>
  </si>
  <si>
    <t xml:space="preserve">2584</t>
  </si>
  <si>
    <t xml:space="preserve">The Vijayawada Electricity Employees Cooperative Credit Society Limited</t>
  </si>
  <si>
    <t xml:space="preserve">2585</t>
  </si>
  <si>
    <t xml:space="preserve">THE WOODIND</t>
  </si>
  <si>
    <t xml:space="preserve">2586</t>
  </si>
  <si>
    <t xml:space="preserve">Therapiva Private Limited</t>
  </si>
  <si>
    <t xml:space="preserve">2587</t>
  </si>
  <si>
    <t xml:space="preserve">Therdose Pharma Private Limited</t>
  </si>
  <si>
    <t xml:space="preserve">2588</t>
  </si>
  <si>
    <t xml:space="preserve">Thermoset Poly Products (I) Pvt. Ltd.</t>
  </si>
  <si>
    <t xml:space="preserve">2589</t>
  </si>
  <si>
    <t xml:space="preserve">Thiru Arooran Sugars Limited</t>
  </si>
  <si>
    <t xml:space="preserve">2590</t>
  </si>
  <si>
    <t xml:space="preserve">Thiru Margadarshi Construction (P) Ltd.</t>
  </si>
  <si>
    <t xml:space="preserve">2591</t>
  </si>
  <si>
    <t xml:space="preserve">Thirumala Knit Finisher</t>
  </si>
  <si>
    <t xml:space="preserve">2592</t>
  </si>
  <si>
    <t xml:space="preserve">Thumar Gems</t>
  </si>
  <si>
    <t xml:space="preserve">16 Aug 2021</t>
  </si>
  <si>
    <t xml:space="preserve">2593</t>
  </si>
  <si>
    <t xml:space="preserve">TI Steels Private Limited</t>
  </si>
  <si>
    <t xml:space="preserve">2594</t>
  </si>
  <si>
    <t xml:space="preserve">Tijaria Polypipes Limited</t>
  </si>
  <si>
    <t xml:space="preserve">2595</t>
  </si>
  <si>
    <t xml:space="preserve">Tiruchirappalli District Co-Operative Milk Producers Union Limited</t>
  </si>
  <si>
    <t xml:space="preserve">2596</t>
  </si>
  <si>
    <t xml:space="preserve">Tirumala Educational Institutes</t>
  </si>
  <si>
    <t xml:space="preserve">2597</t>
  </si>
  <si>
    <t xml:space="preserve">Tirumala Seven Hills Private Limited</t>
  </si>
  <si>
    <t xml:space="preserve">2598</t>
  </si>
  <si>
    <t xml:space="preserve">Tirupathi Yarntex Spinners Private Limited</t>
  </si>
  <si>
    <t xml:space="preserve">2599</t>
  </si>
  <si>
    <t xml:space="preserve">Tirupati Cotton (Ghatanji)</t>
  </si>
  <si>
    <t xml:space="preserve">2600</t>
  </si>
  <si>
    <t xml:space="preserve">Tirupati Cotton-Dwarka</t>
  </si>
  <si>
    <t xml:space="preserve">2601</t>
  </si>
  <si>
    <t xml:space="preserve">Tirupati Shelters Limited</t>
  </si>
  <si>
    <t xml:space="preserve">2602</t>
  </si>
  <si>
    <t xml:space="preserve">Tirupati Stonex Private Limited</t>
  </si>
  <si>
    <t xml:space="preserve">12 Jan 2024</t>
  </si>
  <si>
    <t xml:space="preserve">2603</t>
  </si>
  <si>
    <t xml:space="preserve">Tirupur District Co-operative Milk Producers Union Limited</t>
  </si>
  <si>
    <t xml:space="preserve">14 Oct 2022</t>
  </si>
  <si>
    <t xml:space="preserve">2604</t>
  </si>
  <si>
    <t xml:space="preserve">Titagarh Firema S.p.A.</t>
  </si>
  <si>
    <t xml:space="preserve">30 Mar 2021</t>
  </si>
  <si>
    <t xml:space="preserve">2605</t>
  </si>
  <si>
    <t xml:space="preserve">TK Toll Road Private Limited</t>
  </si>
  <si>
    <t xml:space="preserve">2606</t>
  </si>
  <si>
    <t xml:space="preserve">Tna Readymix (I) Pvt Ltd</t>
  </si>
  <si>
    <t xml:space="preserve">2607</t>
  </si>
  <si>
    <t xml:space="preserve">Topline Laminations Private Limited</t>
  </si>
  <si>
    <t xml:space="preserve">2608</t>
  </si>
  <si>
    <t xml:space="preserve">Topline Overseas</t>
  </si>
  <si>
    <t xml:space="preserve">2609</t>
  </si>
  <si>
    <t xml:space="preserve">Toplink Motors Private Limited</t>
  </si>
  <si>
    <t xml:space="preserve">2610</t>
  </si>
  <si>
    <t xml:space="preserve">Toshali Cements Private Limited</t>
  </si>
  <si>
    <t xml:space="preserve">2611</t>
  </si>
  <si>
    <t xml:space="preserve">Track Innovations (India) Private Limited</t>
  </si>
  <si>
    <t xml:space="preserve">22 May 2023</t>
  </si>
  <si>
    <t xml:space="preserve">2612</t>
  </si>
  <si>
    <t xml:space="preserve">Trans Global Securities Limited</t>
  </si>
  <si>
    <t xml:space="preserve">26 Dec 2023</t>
  </si>
  <si>
    <t xml:space="preserve">2613</t>
  </si>
  <si>
    <t xml:space="preserve">Transtek Infoways Private Limited</t>
  </si>
  <si>
    <t xml:space="preserve">2614</t>
  </si>
  <si>
    <t xml:space="preserve">Travancore Cocotuft Private Limited</t>
  </si>
  <si>
    <t xml:space="preserve">2615</t>
  </si>
  <si>
    <t xml:space="preserve">Trichy Thanjavur Expressways Limited</t>
  </si>
  <si>
    <t xml:space="preserve">2616</t>
  </si>
  <si>
    <t xml:space="preserve">Trident Sugars Limited</t>
  </si>
  <si>
    <t xml:space="preserve">2617</t>
  </si>
  <si>
    <t xml:space="preserve">Trimurthi Hitech Company Private Limited</t>
  </si>
  <si>
    <t xml:space="preserve">2618</t>
  </si>
  <si>
    <t xml:space="preserve">Trineva Infra Projects Private Limited</t>
  </si>
  <si>
    <t xml:space="preserve">2619</t>
  </si>
  <si>
    <t xml:space="preserve">Trishakti Agro Foods</t>
  </si>
  <si>
    <t xml:space="preserve">2620</t>
  </si>
  <si>
    <t xml:space="preserve">Tristar Intercontinental Pvt Ltd</t>
  </si>
  <si>
    <t xml:space="preserve">28 Dec 2018</t>
  </si>
  <si>
    <t xml:space="preserve">2621</t>
  </si>
  <si>
    <t xml:space="preserve">Triumph Wires Private Limited</t>
  </si>
  <si>
    <t xml:space="preserve">2622</t>
  </si>
  <si>
    <t xml:space="preserve">Triveni Enterprises</t>
  </si>
  <si>
    <t xml:space="preserve">06 Mar 2017</t>
  </si>
  <si>
    <t xml:space="preserve">2623</t>
  </si>
  <si>
    <t xml:space="preserve">Triveni Silk Mills</t>
  </si>
  <si>
    <t xml:space="preserve">2624</t>
  </si>
  <si>
    <t xml:space="preserve">Triveni Smelters Private Limited</t>
  </si>
  <si>
    <t xml:space="preserve">2625</t>
  </si>
  <si>
    <t xml:space="preserve">Triveni Wires Private Limited</t>
  </si>
  <si>
    <t xml:space="preserve">2626</t>
  </si>
  <si>
    <t xml:space="preserve">TRT Builders &amp; Constructions (India) Private Limited</t>
  </si>
  <si>
    <t xml:space="preserve">2627</t>
  </si>
  <si>
    <t xml:space="preserve">Truevalue Engineering Private Limited</t>
  </si>
  <si>
    <t xml:space="preserve">2628</t>
  </si>
  <si>
    <t xml:space="preserve">Truwoods Private Limited</t>
  </si>
  <si>
    <t xml:space="preserve">2629</t>
  </si>
  <si>
    <t xml:space="preserve">TRW Sun Steering Wheels Pvt. Ltd.</t>
  </si>
  <si>
    <t xml:space="preserve">2630</t>
  </si>
  <si>
    <t xml:space="preserve">Tube Turn India Private Limited</t>
  </si>
  <si>
    <t xml:space="preserve">2631</t>
  </si>
  <si>
    <t xml:space="preserve">Tulip Granites Pvt. Ltd.</t>
  </si>
  <si>
    <t xml:space="preserve">20 Apr 2023</t>
  </si>
  <si>
    <t xml:space="preserve">2632</t>
  </si>
  <si>
    <t xml:space="preserve">Tulip Telecom Limited</t>
  </si>
  <si>
    <t xml:space="preserve">30 Mar 2017</t>
  </si>
  <si>
    <t xml:space="preserve">2633</t>
  </si>
  <si>
    <t xml:space="preserve">Tulsiani Constructions &amp; Developers Limited</t>
  </si>
  <si>
    <t xml:space="preserve">2634</t>
  </si>
  <si>
    <t xml:space="preserve">Turbovent Industries Private Limited</t>
  </si>
  <si>
    <t xml:space="preserve">2635</t>
  </si>
  <si>
    <t xml:space="preserve">Turquoise &amp; Gold Apparels Private Limited</t>
  </si>
  <si>
    <t xml:space="preserve">2636</t>
  </si>
  <si>
    <t xml:space="preserve">U D Developers LLP</t>
  </si>
  <si>
    <t xml:space="preserve">2637</t>
  </si>
  <si>
    <t xml:space="preserve">U Goenka Sons Private Limited</t>
  </si>
  <si>
    <t xml:space="preserve">2638</t>
  </si>
  <si>
    <t xml:space="preserve">U P Telelinks Limited</t>
  </si>
  <si>
    <t xml:space="preserve">2639</t>
  </si>
  <si>
    <t xml:space="preserve">Ujjawal Textiles</t>
  </si>
  <si>
    <t xml:space="preserve">2640</t>
  </si>
  <si>
    <t xml:space="preserve">Uma Rani Agrotech Private Limited</t>
  </si>
  <si>
    <t xml:space="preserve">2641</t>
  </si>
  <si>
    <t xml:space="preserve">Umesh &amp; Bros. Construction</t>
  </si>
  <si>
    <t xml:space="preserve">2642</t>
  </si>
  <si>
    <t xml:space="preserve">Umiya Industries</t>
  </si>
  <si>
    <t xml:space="preserve">2643</t>
  </si>
  <si>
    <t xml:space="preserve">UMSL Limited (erstwhile Utkal Manufacturing &amp; Services Limited)</t>
  </si>
  <si>
    <t xml:space="preserve">2644</t>
  </si>
  <si>
    <t xml:space="preserve">Uni Ads Limited</t>
  </si>
  <si>
    <t xml:space="preserve">17 Feb 2023</t>
  </si>
  <si>
    <t xml:space="preserve">2646</t>
  </si>
  <si>
    <t xml:space="preserve">Uniflex Industries Private Limited</t>
  </si>
  <si>
    <t xml:space="preserve">2647</t>
  </si>
  <si>
    <t xml:space="preserve">Unihira Exports Private Limited</t>
  </si>
  <si>
    <t xml:space="preserve">2648</t>
  </si>
  <si>
    <t xml:space="preserve">Unique Gems</t>
  </si>
  <si>
    <t xml:space="preserve">2649</t>
  </si>
  <si>
    <t xml:space="preserve">Unique Multifilms Virudhunagar Private Limited</t>
  </si>
  <si>
    <t xml:space="preserve">2650</t>
  </si>
  <si>
    <t xml:space="preserve">Unique Ship Breaking Corporation</t>
  </si>
  <si>
    <t xml:space="preserve">2645</t>
  </si>
  <si>
    <t xml:space="preserve">Uni-Tech Automation Private Limited</t>
  </si>
  <si>
    <t xml:space="preserve">2651</t>
  </si>
  <si>
    <t xml:space="preserve">Unitech Cotspin Limited.</t>
  </si>
  <si>
    <t xml:space="preserve">2652</t>
  </si>
  <si>
    <t xml:space="preserve">Unitech Mercantile Private Limited</t>
  </si>
  <si>
    <t xml:space="preserve">2653</t>
  </si>
  <si>
    <t xml:space="preserve">United Bleachers Private Limited</t>
  </si>
  <si>
    <t xml:space="preserve">2654</t>
  </si>
  <si>
    <t xml:space="preserve">United Composheets Private Limited</t>
  </si>
  <si>
    <t xml:space="preserve">2655</t>
  </si>
  <si>
    <t xml:space="preserve">United Concepts &amp; Solutions Private Limited</t>
  </si>
  <si>
    <t xml:space="preserve">2656</t>
  </si>
  <si>
    <t xml:space="preserve">United Electricals &amp; Engineering Pvt Ltd</t>
  </si>
  <si>
    <t xml:space="preserve">2657</t>
  </si>
  <si>
    <t xml:space="preserve">United Hotels &amp; Properties Private Limited</t>
  </si>
  <si>
    <t xml:space="preserve">2658</t>
  </si>
  <si>
    <t xml:space="preserve">United Nanotechnologies Limited</t>
  </si>
  <si>
    <t xml:space="preserve">2659</t>
  </si>
  <si>
    <t xml:space="preserve">United Technomech Engineers Private Limited</t>
  </si>
  <si>
    <t xml:space="preserve">2660</t>
  </si>
  <si>
    <t xml:space="preserve">Unity Care &amp; Health Services Private Limited</t>
  </si>
  <si>
    <t xml:space="preserve">2661</t>
  </si>
  <si>
    <t xml:space="preserve">Universal Freight Management (India) Private Limited</t>
  </si>
  <si>
    <t xml:space="preserve">2662</t>
  </si>
  <si>
    <t xml:space="preserve">Universal India Agro Foods</t>
  </si>
  <si>
    <t xml:space="preserve">2663</t>
  </si>
  <si>
    <t xml:space="preserve">Upper India Smelting &amp; Refinery Works</t>
  </si>
  <si>
    <t xml:space="preserve">2664</t>
  </si>
  <si>
    <t xml:space="preserve">Ur Realtors Private Limited</t>
  </si>
  <si>
    <t xml:space="preserve">2665</t>
  </si>
  <si>
    <t xml:space="preserve">Urbanscape Properties LLP</t>
  </si>
  <si>
    <t xml:space="preserve">2666</t>
  </si>
  <si>
    <t xml:space="preserve">Urja Automobiles Private Limited</t>
  </si>
  <si>
    <t xml:space="preserve">2667</t>
  </si>
  <si>
    <t xml:space="preserve">Urvesh Psyllium Industries Ltd.</t>
  </si>
  <si>
    <t xml:space="preserve">2668</t>
  </si>
  <si>
    <t xml:space="preserve">Urvi Plastic Industries</t>
  </si>
  <si>
    <t xml:space="preserve">31 Dec 2019</t>
  </si>
  <si>
    <t xml:space="preserve">2669</t>
  </si>
  <si>
    <t xml:space="preserve">USHA Shriram Enterprises Private Limited</t>
  </si>
  <si>
    <t xml:space="preserve">08 Aug 2023</t>
  </si>
  <si>
    <t xml:space="preserve">2670</t>
  </si>
  <si>
    <t xml:space="preserve">Utility Forms Private Limited</t>
  </si>
  <si>
    <t xml:space="preserve">18 Dec 2023</t>
  </si>
  <si>
    <t xml:space="preserve">2671</t>
  </si>
  <si>
    <t xml:space="preserve">Utkal Automobiles Private Limited</t>
  </si>
  <si>
    <t xml:space="preserve">2672</t>
  </si>
  <si>
    <t xml:space="preserve">Uttarayan Foods Private Limited</t>
  </si>
  <si>
    <t xml:space="preserve">2673</t>
  </si>
  <si>
    <t xml:space="preserve">Uttarayan Steel Private Limited</t>
  </si>
  <si>
    <t xml:space="preserve">2675</t>
  </si>
  <si>
    <t xml:space="preserve">V.I.R Foods Limited</t>
  </si>
  <si>
    <t xml:space="preserve">2676</t>
  </si>
  <si>
    <t xml:space="preserve">V.K. Gopal</t>
  </si>
  <si>
    <t xml:space="preserve">2677</t>
  </si>
  <si>
    <t xml:space="preserve">V.M And Co</t>
  </si>
  <si>
    <t xml:space="preserve">2678</t>
  </si>
  <si>
    <t xml:space="preserve">V.M. Bakery Products Private Limited</t>
  </si>
  <si>
    <t xml:space="preserve">2679</t>
  </si>
  <si>
    <t xml:space="preserve">V.R.K. Associates Private Limited</t>
  </si>
  <si>
    <t xml:space="preserve">23 Apr 2018</t>
  </si>
  <si>
    <t xml:space="preserve">2680</t>
  </si>
  <si>
    <t xml:space="preserve">V.S. Ecoblocks Private Limited</t>
  </si>
  <si>
    <t xml:space="preserve">2681</t>
  </si>
  <si>
    <t xml:space="preserve">V3S Infratech Limited</t>
  </si>
  <si>
    <t xml:space="preserve">2674</t>
  </si>
  <si>
    <t xml:space="preserve">V-Access India Pvt. Ltd.</t>
  </si>
  <si>
    <t xml:space="preserve">2682</t>
  </si>
  <si>
    <t xml:space="preserve">Vadim Infrastructure Private Limited</t>
  </si>
  <si>
    <t xml:space="preserve">2683</t>
  </si>
  <si>
    <t xml:space="preserve">Vadsola Ceramic</t>
  </si>
  <si>
    <t xml:space="preserve">2684</t>
  </si>
  <si>
    <t xml:space="preserve">Vaibhav Laxmi Tex Pvt. Ltd.</t>
  </si>
  <si>
    <t xml:space="preserve">24 Feb 2020</t>
  </si>
  <si>
    <t xml:space="preserve">2685</t>
  </si>
  <si>
    <t xml:space="preserve">Vaidehi Enterprises</t>
  </si>
  <si>
    <t xml:space="preserve">2686</t>
  </si>
  <si>
    <t xml:space="preserve">Vaighai Agro Products Limited</t>
  </si>
  <si>
    <t xml:space="preserve">2687</t>
  </si>
  <si>
    <t xml:space="preserve">Vaishnavi Biotech Limited</t>
  </si>
  <si>
    <t xml:space="preserve">2688</t>
  </si>
  <si>
    <t xml:space="preserve">Vaishnavi Food Products</t>
  </si>
  <si>
    <t xml:space="preserve">2689</t>
  </si>
  <si>
    <t xml:space="preserve">Vaishnavi Lifecare Pvt Ltd</t>
  </si>
  <si>
    <t xml:space="preserve">2690</t>
  </si>
  <si>
    <t xml:space="preserve">Valencia Ceramic Private Limited</t>
  </si>
  <si>
    <t xml:space="preserve">2691</t>
  </si>
  <si>
    <t xml:space="preserve">Value Pharma Retail (Hyd) Pvt. Ltd</t>
  </si>
  <si>
    <t xml:space="preserve">2692</t>
  </si>
  <si>
    <t xml:space="preserve">Vama Infra</t>
  </si>
  <si>
    <t xml:space="preserve">2693</t>
  </si>
  <si>
    <t xml:space="preserve">Vamsi Pharma Private Limited</t>
  </si>
  <si>
    <t xml:space="preserve">2694</t>
  </si>
  <si>
    <t xml:space="preserve">Vanshika Construction</t>
  </si>
  <si>
    <t xml:space="preserve">27 Mar 2024</t>
  </si>
  <si>
    <t xml:space="preserve">2695</t>
  </si>
  <si>
    <t xml:space="preserve">Vanshika Sugar &amp; Power Industries Limited</t>
  </si>
  <si>
    <t xml:space="preserve">2696</t>
  </si>
  <si>
    <t xml:space="preserve">Varadharaja Foods Private Limited</t>
  </si>
  <si>
    <t xml:space="preserve">2697</t>
  </si>
  <si>
    <t xml:space="preserve">Varalakshmi Starch Industries Private Limited</t>
  </si>
  <si>
    <t xml:space="preserve">15 Feb 2017</t>
  </si>
  <si>
    <t xml:space="preserve">2698</t>
  </si>
  <si>
    <t xml:space="preserve">Vardhaman College of Engineering</t>
  </si>
  <si>
    <t xml:space="preserve">2699</t>
  </si>
  <si>
    <t xml:space="preserve">Vardhaman Pressure Die Casting</t>
  </si>
  <si>
    <t xml:space="preserve">2700</t>
  </si>
  <si>
    <t xml:space="preserve">Vardhini Industries</t>
  </si>
  <si>
    <t xml:space="preserve">2701</t>
  </si>
  <si>
    <t xml:space="preserve">Vardhman Polytex Limited</t>
  </si>
  <si>
    <t xml:space="preserve">2702</t>
  </si>
  <si>
    <t xml:space="preserve">Vardhman Roller Flour Mills Private Limited</t>
  </si>
  <si>
    <t xml:space="preserve">2703</t>
  </si>
  <si>
    <t xml:space="preserve">Vardhman Vitrified Private Limited</t>
  </si>
  <si>
    <t xml:space="preserve">2704</t>
  </si>
  <si>
    <t xml:space="preserve">Vareli Tecnac Private Limited</t>
  </si>
  <si>
    <t xml:space="preserve">2705</t>
  </si>
  <si>
    <t xml:space="preserve">Varun Enterprises</t>
  </si>
  <si>
    <t xml:space="preserve">13 Oct 2020</t>
  </si>
  <si>
    <t xml:space="preserve">2706</t>
  </si>
  <si>
    <t xml:space="preserve">Vasavi Food Processing Industries</t>
  </si>
  <si>
    <t xml:space="preserve">2707</t>
  </si>
  <si>
    <t xml:space="preserve">VASU COCO RESORTS PRIVATE LIMITED</t>
  </si>
  <si>
    <t xml:space="preserve">2708</t>
  </si>
  <si>
    <t xml:space="preserve">Vasundhara Developers</t>
  </si>
  <si>
    <t xml:space="preserve">2709</t>
  </si>
  <si>
    <t xml:space="preserve">Vasupati Agro Product Private Limited</t>
  </si>
  <si>
    <t xml:space="preserve">2710</t>
  </si>
  <si>
    <t xml:space="preserve">Vatsal Construction Co.</t>
  </si>
  <si>
    <t xml:space="preserve">2711</t>
  </si>
  <si>
    <t xml:space="preserve">Vedamatha Enterprises Pvt Ltd</t>
  </si>
  <si>
    <t xml:space="preserve">2712</t>
  </si>
  <si>
    <t xml:space="preserve">Veejay International (India)</t>
  </si>
  <si>
    <t xml:space="preserve">2713</t>
  </si>
  <si>
    <t xml:space="preserve">Veepee Cotex Corporation</t>
  </si>
  <si>
    <t xml:space="preserve">2714</t>
  </si>
  <si>
    <t xml:space="preserve">Veeraj Construction</t>
  </si>
  <si>
    <t xml:space="preserve">2715</t>
  </si>
  <si>
    <t xml:space="preserve">Veeramakali Memorial Welfare Trust</t>
  </si>
  <si>
    <t xml:space="preserve">2716</t>
  </si>
  <si>
    <t xml:space="preserve">Velammal Educational Trust</t>
  </si>
  <si>
    <t xml:space="preserve">2717</t>
  </si>
  <si>
    <t xml:space="preserve">Velko Infratek Projects Private Limited</t>
  </si>
  <si>
    <t xml:space="preserve">2718</t>
  </si>
  <si>
    <t xml:space="preserve">Venkar Chemicals Private Limited</t>
  </si>
  <si>
    <t xml:space="preserve">2719</t>
  </si>
  <si>
    <t xml:space="preserve">Venkata Naga Lakshmi Paper Mills Private Limited</t>
  </si>
  <si>
    <t xml:space="preserve">2720</t>
  </si>
  <si>
    <t xml:space="preserve">Venkata Sai Agro Industries</t>
  </si>
  <si>
    <t xml:space="preserve">2721</t>
  </si>
  <si>
    <t xml:space="preserve">Venky Hi Tech Ispat Ltd</t>
  </si>
  <si>
    <t xml:space="preserve">2722</t>
  </si>
  <si>
    <t xml:space="preserve">Venson Electric Pvt Ltd</t>
  </si>
  <si>
    <t xml:space="preserve">2723</t>
  </si>
  <si>
    <t xml:space="preserve">Venu Industries</t>
  </si>
  <si>
    <t xml:space="preserve">2724</t>
  </si>
  <si>
    <t xml:space="preserve">Vera India Limited</t>
  </si>
  <si>
    <t xml:space="preserve">2725</t>
  </si>
  <si>
    <t xml:space="preserve">Verma Tractors</t>
  </si>
  <si>
    <t xml:space="preserve">2726</t>
  </si>
  <si>
    <t xml:space="preserve">Versa Drives Private Limited</t>
  </si>
  <si>
    <t xml:space="preserve">10 Mar 2025</t>
  </si>
  <si>
    <t xml:space="preserve">2727</t>
  </si>
  <si>
    <t xml:space="preserve">Vertex Techno Solutions Bangalore Pvt. Ltd.</t>
  </si>
  <si>
    <t xml:space="preserve">2728</t>
  </si>
  <si>
    <t xml:space="preserve">Vibracoustic India Private Limited</t>
  </si>
  <si>
    <t xml:space="preserve">2729</t>
  </si>
  <si>
    <t xml:space="preserve">Vibrant Processors Private Limited</t>
  </si>
  <si>
    <t xml:space="preserve">2730</t>
  </si>
  <si>
    <t xml:space="preserve">Vichitra Constructions Private Limited</t>
  </si>
  <si>
    <t xml:space="preserve">2731</t>
  </si>
  <si>
    <t xml:space="preserve">Vichitra Prestressed Concrete Udyog (P) Ltd.</t>
  </si>
  <si>
    <t xml:space="preserve">2732</t>
  </si>
  <si>
    <t xml:space="preserve">Vicky Fashion Limited</t>
  </si>
  <si>
    <t xml:space="preserve">2733</t>
  </si>
  <si>
    <t xml:space="preserve">Vicon Ceramic Private Limited</t>
  </si>
  <si>
    <t xml:space="preserve">2734</t>
  </si>
  <si>
    <t xml:space="preserve">Victoria Foods Pvt Ltd</t>
  </si>
  <si>
    <t xml:space="preserve">2735</t>
  </si>
  <si>
    <t xml:space="preserve">Vidarbha Industries Power Limited</t>
  </si>
  <si>
    <t xml:space="preserve">2736</t>
  </si>
  <si>
    <t xml:space="preserve">Vidya Polymer Private Limited</t>
  </si>
  <si>
    <t xml:space="preserve">10 Aug 2022</t>
  </si>
  <si>
    <t xml:space="preserve">2737</t>
  </si>
  <si>
    <t xml:space="preserve">Vidya Prasarini Sabha</t>
  </si>
  <si>
    <t xml:space="preserve">2738</t>
  </si>
  <si>
    <t xml:space="preserve">Vidya Sanskaar Educational and Charitable Trust</t>
  </si>
  <si>
    <t xml:space="preserve">2739</t>
  </si>
  <si>
    <t xml:space="preserve">Vihaan Boards Private Limited</t>
  </si>
  <si>
    <t xml:space="preserve">2740</t>
  </si>
  <si>
    <t xml:space="preserve">Vijai Marine Services</t>
  </si>
  <si>
    <t xml:space="preserve">2741</t>
  </si>
  <si>
    <t xml:space="preserve">Vijay Builders &amp; Constructions Private Limited</t>
  </si>
  <si>
    <t xml:space="preserve">2742</t>
  </si>
  <si>
    <t xml:space="preserve">Vijay Engineering Equipment india Pvt.Ltd</t>
  </si>
  <si>
    <t xml:space="preserve">2743</t>
  </si>
  <si>
    <t xml:space="preserve">Vijay Industries</t>
  </si>
  <si>
    <t xml:space="preserve">2744</t>
  </si>
  <si>
    <t xml:space="preserve">Vijay Pulse Pvt. Ltd.</t>
  </si>
  <si>
    <t xml:space="preserve">08 Nov 2023</t>
  </si>
  <si>
    <t xml:space="preserve">2745</t>
  </si>
  <si>
    <t xml:space="preserve">Vijay Trading Company</t>
  </si>
  <si>
    <t xml:space="preserve">2746</t>
  </si>
  <si>
    <t xml:space="preserve">Vijay Transformers</t>
  </si>
  <si>
    <t xml:space="preserve">2747</t>
  </si>
  <si>
    <t xml:space="preserve">Vijaya Raja Rajeswari Constructions Private Limited</t>
  </si>
  <si>
    <t xml:space="preserve">2748</t>
  </si>
  <si>
    <t xml:space="preserve">Vijayawada Municipal Corporation</t>
  </si>
  <si>
    <t xml:space="preserve">28 Mar 2025</t>
  </si>
  <si>
    <t xml:space="preserve">2749</t>
  </si>
  <si>
    <t xml:space="preserve">Vijayshree Electromech Private Limited</t>
  </si>
  <si>
    <t xml:space="preserve">2750</t>
  </si>
  <si>
    <t xml:space="preserve">Vijeta Projects &amp; Infrastructures Ltd.</t>
  </si>
  <si>
    <t xml:space="preserve">2751</t>
  </si>
  <si>
    <t xml:space="preserve">Vikas Cot Fiber Private Limited</t>
  </si>
  <si>
    <t xml:space="preserve">2752</t>
  </si>
  <si>
    <t xml:space="preserve">Vikas Cotex</t>
  </si>
  <si>
    <t xml:space="preserve">2753</t>
  </si>
  <si>
    <t xml:space="preserve">Vikas Cotton Ginning &amp; Pressing</t>
  </si>
  <si>
    <t xml:space="preserve">14 Aug 2018</t>
  </si>
  <si>
    <t xml:space="preserve">2754</t>
  </si>
  <si>
    <t xml:space="preserve">Vikas Filaments Private Limited</t>
  </si>
  <si>
    <t xml:space="preserve">2755</t>
  </si>
  <si>
    <t xml:space="preserve">Vikas Gems</t>
  </si>
  <si>
    <t xml:space="preserve">2756</t>
  </si>
  <si>
    <t xml:space="preserve">Vikas Krishi Seva Kendra</t>
  </si>
  <si>
    <t xml:space="preserve">2757</t>
  </si>
  <si>
    <t xml:space="preserve">Villupuram District Co-Operative Milk Producers Union Limited</t>
  </si>
  <si>
    <t xml:space="preserve">2758</t>
  </si>
  <si>
    <t xml:space="preserve">Vimal Oil and Foods Limited</t>
  </si>
  <si>
    <t xml:space="preserve">2759</t>
  </si>
  <si>
    <t xml:space="preserve">Vimalscop Product</t>
  </si>
  <si>
    <t xml:space="preserve">2760</t>
  </si>
  <si>
    <t xml:space="preserve">Vinar Ispat Limited</t>
  </si>
  <si>
    <t xml:space="preserve">2761</t>
  </si>
  <si>
    <t xml:space="preserve">Vinayak Cottex</t>
  </si>
  <si>
    <t xml:space="preserve">2762</t>
  </si>
  <si>
    <t xml:space="preserve">Vinayak Diamond Tools</t>
  </si>
  <si>
    <t xml:space="preserve">2763</t>
  </si>
  <si>
    <t xml:space="preserve">Vinayak International</t>
  </si>
  <si>
    <t xml:space="preserve">08 May 2018</t>
  </si>
  <si>
    <t xml:space="preserve">2764</t>
  </si>
  <si>
    <t xml:space="preserve">Vipul Industries Private Limited</t>
  </si>
  <si>
    <t xml:space="preserve">2765</t>
  </si>
  <si>
    <t xml:space="preserve">Vir Electro Engineering Private Limited</t>
  </si>
  <si>
    <t xml:space="preserve">2766</t>
  </si>
  <si>
    <t xml:space="preserve">Virendra Kumar Singh</t>
  </si>
  <si>
    <t xml:space="preserve">2767</t>
  </si>
  <si>
    <t xml:space="preserve">Virgin Rock Private Limited</t>
  </si>
  <si>
    <t xml:space="preserve">2768</t>
  </si>
  <si>
    <t xml:space="preserve">Visakhapatnam Port Logistics Park Ltd</t>
  </si>
  <si>
    <t xml:space="preserve">2769</t>
  </si>
  <si>
    <t xml:space="preserve">Vishnushiva Infrastructures</t>
  </si>
  <si>
    <t xml:space="preserve">2770</t>
  </si>
  <si>
    <t xml:space="preserve">Vishwasrao Naik Sahakari Sakhar Karkhana Ltd</t>
  </si>
  <si>
    <t xml:space="preserve">2771</t>
  </si>
  <si>
    <t xml:space="preserve">Visura (India) Limited</t>
  </si>
  <si>
    <t xml:space="preserve">17 Nov 2022</t>
  </si>
  <si>
    <t xml:space="preserve">2772</t>
  </si>
  <si>
    <t xml:space="preserve">Viviana Vitrified Private Limited</t>
  </si>
  <si>
    <t xml:space="preserve">2773</t>
  </si>
  <si>
    <t xml:space="preserve">Viyyat Power Private Limited</t>
  </si>
  <si>
    <t xml:space="preserve">2774</t>
  </si>
  <si>
    <t xml:space="preserve">Vizianagaram Municipality</t>
  </si>
  <si>
    <t xml:space="preserve">2775</t>
  </si>
  <si>
    <t xml:space="preserve">Vogue Clothing Company</t>
  </si>
  <si>
    <t xml:space="preserve">2776</t>
  </si>
  <si>
    <t xml:space="preserve">Voltaic Power Private Limited</t>
  </si>
  <si>
    <t xml:space="preserve">22 Jul 2022</t>
  </si>
  <si>
    <t xml:space="preserve">2777</t>
  </si>
  <si>
    <t xml:space="preserve">Vs Ferrous Enterprises Private Limited</t>
  </si>
  <si>
    <t xml:space="preserve">10 Jun 2019</t>
  </si>
  <si>
    <t xml:space="preserve">2778</t>
  </si>
  <si>
    <t xml:space="preserve">Vsp Enterprises Private Limited</t>
  </si>
  <si>
    <t xml:space="preserve">2779</t>
  </si>
  <si>
    <t xml:space="preserve">VSRK Constructions</t>
  </si>
  <si>
    <t xml:space="preserve">2780</t>
  </si>
  <si>
    <t xml:space="preserve">VVC Motors Pvt. Ltd.</t>
  </si>
  <si>
    <t xml:space="preserve">22 Jun 2022</t>
  </si>
  <si>
    <t xml:space="preserve">2781</t>
  </si>
  <si>
    <t xml:space="preserve">Wall Cera Tiles Pvt. Ltd.</t>
  </si>
  <si>
    <t xml:space="preserve">2782</t>
  </si>
  <si>
    <t xml:space="preserve">Wallmark Ceramic Industry</t>
  </si>
  <si>
    <t xml:space="preserve">2783</t>
  </si>
  <si>
    <t xml:space="preserve">Wanaparthy Municipality</t>
  </si>
  <si>
    <t xml:space="preserve">2784</t>
  </si>
  <si>
    <t xml:space="preserve">Wanderland Real Estates Pvt. Ltd.</t>
  </si>
  <si>
    <t xml:space="preserve">2785</t>
  </si>
  <si>
    <t xml:space="preserve">Warade Pack Tech Private Limited</t>
  </si>
  <si>
    <t xml:space="preserve">2786</t>
  </si>
  <si>
    <t xml:space="preserve">Waterline Hotels Private Limited</t>
  </si>
  <si>
    <t xml:space="preserve">2787</t>
  </si>
  <si>
    <t xml:space="preserve">Wave Beverages Private Limited</t>
  </si>
  <si>
    <t xml:space="preserve">2788</t>
  </si>
  <si>
    <t xml:space="preserve">Wave Distilleries And Breweries Limited</t>
  </si>
  <si>
    <t xml:space="preserve">2789</t>
  </si>
  <si>
    <t xml:space="preserve">Web Spiders (India) Pvt Ltd</t>
  </si>
  <si>
    <t xml:space="preserve">2790</t>
  </si>
  <si>
    <t xml:space="preserve">Webfil Limited</t>
  </si>
  <si>
    <t xml:space="preserve">2791</t>
  </si>
  <si>
    <t xml:space="preserve">Weener Empire Plastics Private Limited</t>
  </si>
  <si>
    <t xml:space="preserve">2792</t>
  </si>
  <si>
    <t xml:space="preserve">Welcome Distilleries Pvt. Ltd.</t>
  </si>
  <si>
    <t xml:space="preserve">2793</t>
  </si>
  <si>
    <t xml:space="preserve">Welcome Tiles Private Limited</t>
  </si>
  <si>
    <t xml:space="preserve">2794</t>
  </si>
  <si>
    <t xml:space="preserve">West Coast Foods</t>
  </si>
  <si>
    <t xml:space="preserve">2795</t>
  </si>
  <si>
    <t xml:space="preserve">Western Construction Co. (Gujarat) LLP</t>
  </si>
  <si>
    <t xml:space="preserve">2796</t>
  </si>
  <si>
    <t xml:space="preserve">Western Hill Foods Ltd.</t>
  </si>
  <si>
    <t xml:space="preserve">2797</t>
  </si>
  <si>
    <t xml:space="preserve">Wheel Flexible Packaging</t>
  </si>
  <si>
    <t xml:space="preserve">2798</t>
  </si>
  <si>
    <t xml:space="preserve">Whitefield Spintex (India) Pvt. Ltd.</t>
  </si>
  <si>
    <t xml:space="preserve">2799</t>
  </si>
  <si>
    <t xml:space="preserve">Windsor Industries Private Limited</t>
  </si>
  <si>
    <t xml:space="preserve">2800</t>
  </si>
  <si>
    <t xml:space="preserve">Winfab Equipments Pvt. Ltd.</t>
  </si>
  <si>
    <t xml:space="preserve">2801</t>
  </si>
  <si>
    <t xml:space="preserve">Winner Nippon Electronics Ltd.</t>
  </si>
  <si>
    <t xml:space="preserve">2802</t>
  </si>
  <si>
    <t xml:space="preserve">Wintop Vitrified Private Limited</t>
  </si>
  <si>
    <t xml:space="preserve">2803</t>
  </si>
  <si>
    <t xml:space="preserve">Wires and Cables (India)</t>
  </si>
  <si>
    <t xml:space="preserve">2804</t>
  </si>
  <si>
    <t xml:space="preserve">Women's Next Loungeries Limited</t>
  </si>
  <si>
    <t xml:space="preserve">2805</t>
  </si>
  <si>
    <t xml:space="preserve">Wonder Construction</t>
  </si>
  <si>
    <t xml:space="preserve">2806</t>
  </si>
  <si>
    <t xml:space="preserve">Wonder Signs</t>
  </si>
  <si>
    <t xml:space="preserve">2807</t>
  </si>
  <si>
    <t xml:space="preserve">Woodhill Infrastructure Limited</t>
  </si>
  <si>
    <t xml:space="preserve">2808</t>
  </si>
  <si>
    <t xml:space="preserve">Woolways (India) Limited</t>
  </si>
  <si>
    <t xml:space="preserve">2809</t>
  </si>
  <si>
    <t xml:space="preserve">Xrbia Developers Limited</t>
  </si>
  <si>
    <t xml:space="preserve">22 May 2019</t>
  </si>
  <si>
    <t xml:space="preserve">2810</t>
  </si>
  <si>
    <t xml:space="preserve">XS Real Properties Private Limited</t>
  </si>
  <si>
    <t xml:space="preserve">2811</t>
  </si>
  <si>
    <t xml:space="preserve">Y.V.S Kumkumam Company</t>
  </si>
  <si>
    <t xml:space="preserve">2812</t>
  </si>
  <si>
    <t xml:space="preserve">Y.V.S Spices And Co</t>
  </si>
  <si>
    <t xml:space="preserve">2813</t>
  </si>
  <si>
    <t xml:space="preserve">Yamuna Machine Works Ltd.</t>
  </si>
  <si>
    <t xml:space="preserve">2814</t>
  </si>
  <si>
    <t xml:space="preserve">Yash Exports (India) Private Limited</t>
  </si>
  <si>
    <t xml:space="preserve">2815</t>
  </si>
  <si>
    <t xml:space="preserve">Yash Pal &amp; Sons (HUF)</t>
  </si>
  <si>
    <t xml:space="preserve">2816</t>
  </si>
  <si>
    <t xml:space="preserve">Yashashree Tubes Private Limited</t>
  </si>
  <si>
    <t xml:space="preserve">2817</t>
  </si>
  <si>
    <t xml:space="preserve">Yashodha Motors Private Limited</t>
  </si>
  <si>
    <t xml:space="preserve">2818</t>
  </si>
  <si>
    <t xml:space="preserve">Yashodhara Super Speciality Hospital Private Limited</t>
  </si>
  <si>
    <t xml:space="preserve">2819</t>
  </si>
  <si>
    <t xml:space="preserve">Yashveer Ceramic</t>
  </si>
  <si>
    <t xml:space="preserve">2820</t>
  </si>
  <si>
    <t xml:space="preserve">Yedeshwari Agro Products Limited</t>
  </si>
  <si>
    <t xml:space="preserve">2821</t>
  </si>
  <si>
    <t xml:space="preserve">Yenepoya (Deemed to be University)</t>
  </si>
  <si>
    <t xml:space="preserve">2822</t>
  </si>
  <si>
    <t xml:space="preserve">Yenkey Roller Flour Mills</t>
  </si>
  <si>
    <t xml:space="preserve">2823</t>
  </si>
  <si>
    <t xml:space="preserve">Yogi Construction Co.</t>
  </si>
  <si>
    <t xml:space="preserve">02 Mar 2021</t>
  </si>
  <si>
    <t xml:space="preserve">2824</t>
  </si>
  <si>
    <t xml:space="preserve">Yogiji Digi Private Limited(Formerly Known as Digi Drives Private Limited)</t>
  </si>
  <si>
    <t xml:space="preserve">27 Sep 2022</t>
  </si>
  <si>
    <t xml:space="preserve">2825</t>
  </si>
  <si>
    <t xml:space="preserve">YR General Trading HK Limited</t>
  </si>
  <si>
    <t xml:space="preserve">2826</t>
  </si>
  <si>
    <t xml:space="preserve">Yusra Agro Foods Private Limited</t>
  </si>
  <si>
    <t xml:space="preserve">2827</t>
  </si>
  <si>
    <t xml:space="preserve">Zadafiya Creations Pvt. Ltd.</t>
  </si>
  <si>
    <t xml:space="preserve">2828</t>
  </si>
  <si>
    <t xml:space="preserve">Zandros Granito Llp</t>
  </si>
  <si>
    <t xml:space="preserve">2829</t>
  </si>
  <si>
    <t xml:space="preserve">Zaveri Exports Private Limited</t>
  </si>
  <si>
    <t xml:space="preserve">2830</t>
  </si>
  <si>
    <t xml:space="preserve">Zeco Aircon Limited</t>
  </si>
  <si>
    <t xml:space="preserve">21 Apr 2020</t>
  </si>
  <si>
    <t xml:space="preserve">2831</t>
  </si>
  <si>
    <t xml:space="preserve">Zenica Cars India Private Limited</t>
  </si>
  <si>
    <t xml:space="preserve">04 Sep 2018</t>
  </si>
  <si>
    <t xml:space="preserve">2832</t>
  </si>
  <si>
    <t xml:space="preserve">Zenica Performance Cars Private Limited</t>
  </si>
  <si>
    <t xml:space="preserve">2833</t>
  </si>
  <si>
    <t xml:space="preserve">Zenith Exports Limited</t>
  </si>
  <si>
    <t xml:space="preserve">26 Oct 2022</t>
  </si>
  <si>
    <t xml:space="preserve">2834</t>
  </si>
  <si>
    <t xml:space="preserve">Zenith Precision Pvt Ltd</t>
  </si>
  <si>
    <t xml:space="preserve">28 Jan 2022</t>
  </si>
  <si>
    <t xml:space="preserve">2835</t>
  </si>
  <si>
    <t xml:space="preserve">Zenvision Pharma LLP</t>
  </si>
  <si>
    <t xml:space="preserve">14 Mar 2025</t>
  </si>
  <si>
    <t xml:space="preserve">2836</t>
  </si>
  <si>
    <t xml:space="preserve">Zeta Industrial Corporation Private Limited</t>
  </si>
  <si>
    <t xml:space="preserve">25 Oct 2018</t>
  </si>
  <si>
    <t xml:space="preserve">2837</t>
  </si>
  <si>
    <t xml:space="preserve">Zeta Microns Llp</t>
  </si>
  <si>
    <t xml:space="preserve">2838</t>
  </si>
  <si>
    <t xml:space="preserve">Zetek Castings Private Limited</t>
  </si>
  <si>
    <t xml:space="preserve">2839</t>
  </si>
  <si>
    <t xml:space="preserve">Zibon Ceramic Pvt. Ltd.</t>
  </si>
  <si>
    <t xml:space="preserve">2840</t>
  </si>
  <si>
    <t xml:space="preserve">Zillion Infraprojects Private Limited (Formerly known as Durha Constructions Private Limited)</t>
  </si>
  <si>
    <t xml:space="preserve">24 Apr 2019</t>
  </si>
  <si>
    <t xml:space="preserve">2841</t>
  </si>
  <si>
    <t xml:space="preserve">Zinzuwadia Brothers Jewellers</t>
  </si>
  <si>
    <t xml:space="preserve">2842</t>
  </si>
  <si>
    <t xml:space="preserve">Zippy Edible Products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</si>
</sst>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">
    <font>
      <sz val="11"/>
      <color indexed="8"/>
      <name val="Calibri"/>
      <family val="2"/>
      <scheme val="minor"/>
    </font>
    <font>
      <b/>
      <sz val="11"/>
      <color indexed="8"/>
      <name val="Calibri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left/>
      <right/>
      <top/>
      <bottom style="thin"/>
      <diagonal/>
    </border>
    <border>
      <left style="thin"/>
      <right/>
      <top/>
      <bottom style="thin"/>
      <diagonal/>
    </border>
    <border>
      <left style="thin"/>
      <right style="thin"/>
      <top/>
      <bottom style="thin"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 xfId="0"/>
  </cellStyleXfs>
  <cellXfs count="2">
    <xf numFmtId="0" fontId="0" fillId="0" borderId="0" xfId="0"/>
    <xf numFmtId="0" fontId="1" fillId="0" borderId="4" xfId="0" applyFont="1" applyBorder="1"/>
  </cell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1" showRuler="1" showOutlineSymbols="1" defaultGridColor="1" colorId="64" zoomScale="100" workbookViewId="0"/>
  </sheetViews>
  <sheetFormatPr defaultColWidth="8.43" defaultRowHeight="15"/>
  <cols>
    <col min="1" max="1" width="6" bestFit="1" customWidth="1" collapsed="1"/>
    <col min="2" max="2" width="100.65" bestFit="1" customWidth="1" collapsed="1"/>
    <col min="3" max="3" width="46.95" bestFit="1" customWidth="1" collapsed="1"/>
    <col min="4" max="4" width="50.55" bestFit="1" customWidth="1" collapsed="1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0" t="s">
        <v>4</v>
      </c>
      <c r="B2" s="0" t="s">
        <v>5</v>
      </c>
      <c r="C2" s="0" t="s">
        <v>6</v>
      </c>
      <c r="D2" s="0">
        <f dt2D="0" dtr="0">HYPERLINK("https://www.icra.in/Rating/RatingDetails?CompanyId=0&amp;CompanyName=4 Genius Minds", "Rationale")</f>
        <v/>
      </c>
    </row>
    <row r="3">
      <c r="A3" s="0" t="s">
        <v>7</v>
      </c>
      <c r="B3" s="0" t="s">
        <v>8</v>
      </c>
      <c r="C3" s="0" t="s">
        <v>9</v>
      </c>
      <c r="D3" s="0">
        <f dt2D="0" dtr="0">HYPERLINK("https://www.icra.in/Rating/RatingDetails?CompanyId=0&amp;CompanyName=A N Associates", "Rationale")</f>
        <v/>
      </c>
    </row>
    <row r="4">
      <c r="A4" s="0" t="s">
        <v>10</v>
      </c>
      <c r="B4" s="0" t="s">
        <v>11</v>
      </c>
      <c r="C4" s="0" t="s">
        <v>12</v>
      </c>
      <c r="D4" s="0">
        <f dt2D="0" dtr="0">HYPERLINK("https://www.icra.in/Rating/RatingDetails?CompanyId=0&amp;CompanyName=A Shama Rao Foundation", "Rationale")</f>
        <v/>
      </c>
    </row>
    <row r="5">
      <c r="A5" s="0" t="s">
        <v>13</v>
      </c>
      <c r="B5" s="0" t="s">
        <v>14</v>
      </c>
      <c r="C5" s="0" t="s">
        <v>15</v>
      </c>
      <c r="D5" s="0">
        <f dt2D="0" dtr="0">HYPERLINK("https://www.icra.in/Rating/RatingDetails?CompanyId=0&amp;CompanyName=A. K. Das Associates Limited", "Rationale")</f>
        <v/>
      </c>
    </row>
    <row r="6">
      <c r="A6" s="0" t="s">
        <v>16</v>
      </c>
      <c r="B6" s="0" t="s">
        <v>17</v>
      </c>
      <c r="C6" s="0" t="s">
        <v>18</v>
      </c>
      <c r="D6" s="0">
        <f dt2D="0" dtr="0">HYPERLINK("https://www.icra.in/Rating/RatingDetails?CompanyId=0&amp;CompanyName=A. K. L. Infracon Pvt Ltd", "Rationale")</f>
        <v/>
      </c>
    </row>
    <row r="7">
      <c r="A7" s="0" t="s">
        <v>19</v>
      </c>
      <c r="B7" s="0" t="s">
        <v>20</v>
      </c>
      <c r="C7" s="0" t="s">
        <v>21</v>
      </c>
      <c r="D7" s="0">
        <f dt2D="0" dtr="0">HYPERLINK("https://www.icra.in/Rating/RatingDetails?CompanyId=0&amp;CompanyName=A. S. Export", "Rationale")</f>
        <v/>
      </c>
    </row>
    <row r="8">
      <c r="A8" s="0" t="s">
        <v>22</v>
      </c>
      <c r="B8" s="0" t="s">
        <v>23</v>
      </c>
      <c r="C8" s="0" t="s">
        <v>24</v>
      </c>
      <c r="D8" s="0">
        <f dt2D="0" dtr="0">HYPERLINK("https://www.icra.in/Rating/RatingDetails?CompanyId=0&amp;CompanyName=A.P.R. Ginn And Pressing Mills", "Rationale")</f>
        <v/>
      </c>
    </row>
    <row r="9">
      <c r="A9" s="0" t="s">
        <v>25</v>
      </c>
      <c r="B9" s="0" t="s">
        <v>26</v>
      </c>
      <c r="C9" s="0" t="s">
        <v>27</v>
      </c>
      <c r="D9" s="0">
        <f dt2D="0" dtr="0">HYPERLINK("https://www.icra.in/Rating/RatingDetails?CompanyId=0&amp;CompanyName=A.S. Moloobhoy Private Limited", "Rationale")</f>
        <v/>
      </c>
    </row>
    <row r="10">
      <c r="A10" s="0" t="s">
        <v>28</v>
      </c>
      <c r="B10" s="0" t="s">
        <v>29</v>
      </c>
      <c r="C10" s="0" t="s">
        <v>30</v>
      </c>
      <c r="D10" s="0">
        <f dt2D="0" dtr="0">HYPERLINK("https://www.icra.in/Rating/RatingDetails?CompanyId=0&amp;CompanyName=Aadhi Cars Private Limited", "Rationale")</f>
        <v/>
      </c>
    </row>
    <row r="11">
      <c r="A11" s="0" t="s">
        <v>31</v>
      </c>
      <c r="B11" s="0" t="s">
        <v>32</v>
      </c>
      <c r="C11" s="0" t="s">
        <v>33</v>
      </c>
      <c r="D11" s="0">
        <f dt2D="0" dtr="0">HYPERLINK("https://www.icra.in/Rating/RatingDetails?CompanyId=0&amp;CompanyName=Aadi Polymers Private Limited", "Rationale")</f>
        <v/>
      </c>
    </row>
    <row r="12">
      <c r="A12" s="0" t="s">
        <v>34</v>
      </c>
      <c r="B12" s="0" t="s">
        <v>35</v>
      </c>
      <c r="C12" s="0" t="s">
        <v>36</v>
      </c>
      <c r="D12" s="0">
        <f dt2D="0" dtr="0">HYPERLINK("https://www.icra.in/Rating/RatingDetails?CompanyId=0&amp;CompanyName=Aai Krupa Cotton Industries", "Rationale")</f>
        <v/>
      </c>
    </row>
    <row r="13">
      <c r="A13" s="0" t="s">
        <v>37</v>
      </c>
      <c r="B13" s="0" t="s">
        <v>38</v>
      </c>
      <c r="C13" s="0" t="s">
        <v>39</v>
      </c>
      <c r="D13" s="0">
        <f dt2D="0" dtr="0">HYPERLINK("https://www.icra.in/Rating/RatingDetails?CompanyId=0&amp;CompanyName=Aaiswarya Dyeing Mills Pvt. Ltd.", "Rationale")</f>
        <v/>
      </c>
    </row>
    <row r="14">
      <c r="A14" s="0" t="s">
        <v>40</v>
      </c>
      <c r="B14" s="0" t="s">
        <v>41</v>
      </c>
      <c r="C14" s="0" t="s">
        <v>42</v>
      </c>
      <c r="D14" s="0">
        <f dt2D="0" dtr="0">HYPERLINK("https://www.icra.in/Rating/RatingDetails?CompanyId=0&amp;CompanyName=Aarcot Ceramic Pvt. Ltd.", "Rationale")</f>
        <v/>
      </c>
    </row>
    <row r="15">
      <c r="A15" s="0" t="s">
        <v>43</v>
      </c>
      <c r="B15" s="0" t="s">
        <v>44</v>
      </c>
      <c r="C15" s="0" t="s">
        <v>36</v>
      </c>
      <c r="D15" s="0">
        <f dt2D="0" dtr="0">HYPERLINK("https://www.icra.in/Rating/RatingDetails?CompanyId=0&amp;CompanyName=Aarey Drugs &amp; Pharmaceuticals Limited", "Rationale")</f>
        <v/>
      </c>
    </row>
    <row r="16">
      <c r="A16" s="0" t="s">
        <v>45</v>
      </c>
      <c r="B16" s="0" t="s">
        <v>46</v>
      </c>
      <c r="C16" s="0" t="s">
        <v>47</v>
      </c>
      <c r="D16" s="0">
        <f dt2D="0" dtr="0">HYPERLINK("https://www.icra.in/Rating/RatingDetails?CompanyId=0&amp;CompanyName=Aarneel Technocrafts Private Limited", "Rationale")</f>
        <v/>
      </c>
    </row>
    <row r="17">
      <c r="A17" s="0" t="s">
        <v>48</v>
      </c>
      <c r="B17" s="0" t="s">
        <v>49</v>
      </c>
      <c r="C17" s="0" t="s">
        <v>50</v>
      </c>
      <c r="D17" s="0">
        <f dt2D="0" dtr="0">HYPERLINK("https://www.icra.in/Rating/RatingDetails?CompanyId=0&amp;CompanyName=Aasra Foundations (Regd.)", "Rationale")</f>
        <v/>
      </c>
    </row>
    <row r="18">
      <c r="A18" s="0" t="s">
        <v>51</v>
      </c>
      <c r="B18" s="0" t="s">
        <v>52</v>
      </c>
      <c r="C18" s="0" t="s">
        <v>53</v>
      </c>
      <c r="D18" s="0">
        <f dt2D="0" dtr="0">HYPERLINK("https://www.icra.in/Rating/RatingDetails?CompanyId=0&amp;CompanyName=Aastha Fashions Pvt. Ltd.", "Rationale")</f>
        <v/>
      </c>
    </row>
    <row r="19">
      <c r="A19" s="0" t="s">
        <v>54</v>
      </c>
      <c r="B19" s="0" t="s">
        <v>55</v>
      </c>
      <c r="C19" s="0" t="s">
        <v>56</v>
      </c>
      <c r="D19" s="0">
        <f dt2D="0" dtr="0">HYPERLINK("https://www.icra.in/Rating/RatingDetails?CompanyId=0&amp;CompanyName=Aastha Infracity Limited", "Rationale")</f>
        <v/>
      </c>
    </row>
    <row r="20">
      <c r="A20" s="0" t="s">
        <v>57</v>
      </c>
      <c r="B20" s="0" t="s">
        <v>58</v>
      </c>
      <c r="C20" s="0" t="s">
        <v>59</v>
      </c>
      <c r="D20" s="0">
        <f dt2D="0" dtr="0">HYPERLINK("https://www.icra.in/Rating/RatingDetails?CompanyId=0&amp;CompanyName=Aasu Exim Private Limited", "Rationale")</f>
        <v/>
      </c>
    </row>
    <row r="21">
      <c r="A21" s="0" t="s">
        <v>60</v>
      </c>
      <c r="B21" s="0" t="s">
        <v>61</v>
      </c>
      <c r="C21" s="0" t="s">
        <v>62</v>
      </c>
      <c r="D21" s="0">
        <f dt2D="0" dtr="0">HYPERLINK("https://www.icra.in/Rating/RatingDetails?CompanyId=0&amp;CompanyName=AB Sugars Limited", "Rationale")</f>
        <v/>
      </c>
    </row>
    <row r="22">
      <c r="A22" s="0" t="s">
        <v>63</v>
      </c>
      <c r="B22" s="0" t="s">
        <v>64</v>
      </c>
      <c r="C22" s="0" t="s">
        <v>65</v>
      </c>
      <c r="D22" s="0">
        <f dt2D="0" dtr="0">HYPERLINK("https://www.icra.in/Rating/RatingDetails?CompanyId=0&amp;CompanyName=AB&amp;Co Global Private Limited", "Rationale")</f>
        <v/>
      </c>
    </row>
    <row r="23">
      <c r="A23" s="0" t="s">
        <v>66</v>
      </c>
      <c r="B23" s="0" t="s">
        <v>67</v>
      </c>
      <c r="C23" s="0" t="s">
        <v>68</v>
      </c>
      <c r="D23" s="0">
        <f dt2D="0" dtr="0">HYPERLINK("https://www.icra.in/Rating/RatingDetails?CompanyId=0&amp;CompanyName=ABC Transformers Private Limited", "Rationale")</f>
        <v/>
      </c>
    </row>
    <row r="24">
      <c r="A24" s="0" t="s">
        <v>69</v>
      </c>
      <c r="B24" s="0" t="s">
        <v>70</v>
      </c>
      <c r="C24" s="0" t="s">
        <v>71</v>
      </c>
      <c r="D24" s="0">
        <f dt2D="0" dtr="0">HYPERLINK("https://www.icra.in/Rating/RatingDetails?CompanyId=0&amp;CompanyName=Abhinav Industries", "Rationale")</f>
        <v/>
      </c>
    </row>
    <row r="25">
      <c r="A25" s="0" t="s">
        <v>72</v>
      </c>
      <c r="B25" s="0" t="s">
        <v>73</v>
      </c>
      <c r="C25" s="0" t="s">
        <v>74</v>
      </c>
      <c r="D25" s="0">
        <f dt2D="0" dtr="0">HYPERLINK("https://www.icra.in/Rating/RatingDetails?CompanyId=0&amp;CompanyName=Abhishek Automotives Private Limited", "Rationale")</f>
        <v/>
      </c>
    </row>
    <row r="26">
      <c r="A26" s="0" t="s">
        <v>75</v>
      </c>
      <c r="B26" s="0" t="s">
        <v>76</v>
      </c>
      <c r="C26" s="0" t="s">
        <v>6</v>
      </c>
      <c r="D26" s="0">
        <f dt2D="0" dtr="0">HYPERLINK("https://www.icra.in/Rating/RatingDetails?CompanyId=0&amp;CompanyName=Abhishek Steel Industries Limited", "Rationale")</f>
        <v/>
      </c>
    </row>
    <row r="27">
      <c r="A27" s="0" t="s">
        <v>77</v>
      </c>
      <c r="B27" s="0" t="s">
        <v>78</v>
      </c>
      <c r="C27" s="0" t="s">
        <v>59</v>
      </c>
      <c r="D27" s="0">
        <f dt2D="0" dtr="0">HYPERLINK("https://www.icra.in/Rating/RatingDetails?CompanyId=0&amp;CompanyName=Abhyudaya Green Economic Zones Private Limited", "Rationale")</f>
        <v/>
      </c>
    </row>
    <row r="28">
      <c r="A28" s="0" t="s">
        <v>79</v>
      </c>
      <c r="B28" s="0" t="s">
        <v>80</v>
      </c>
      <c r="C28" s="0" t="s">
        <v>81</v>
      </c>
      <c r="D28" s="0">
        <f dt2D="0" dtr="0">HYPERLINK("https://www.icra.in/Rating/RatingDetails?CompanyId=0&amp;CompanyName=Abir Infrastructure Private Limited", "Rationale")</f>
        <v/>
      </c>
    </row>
    <row r="29">
      <c r="A29" s="0" t="s">
        <v>82</v>
      </c>
      <c r="B29" s="0" t="s">
        <v>83</v>
      </c>
      <c r="C29" s="0" t="s">
        <v>84</v>
      </c>
      <c r="D29" s="0">
        <f dt2D="0" dtr="0">HYPERLINK("https://www.icra.in/Rating/RatingDetails?CompanyId=0&amp;CompanyName=Abis Sampoorna LLP", "Rationale")</f>
        <v/>
      </c>
    </row>
    <row r="30">
      <c r="A30" s="0" t="s">
        <v>85</v>
      </c>
      <c r="B30" s="0" t="s">
        <v>86</v>
      </c>
      <c r="C30" s="0" t="s">
        <v>87</v>
      </c>
      <c r="D30" s="0">
        <f dt2D="0" dtr="0">HYPERLINK("https://www.icra.in/Rating/RatingDetails?CompanyId=0&amp;CompanyName=Abroad Vitrified Private Limited", "Rationale")</f>
        <v/>
      </c>
    </row>
    <row r="31">
      <c r="A31" s="0" t="s">
        <v>88</v>
      </c>
      <c r="B31" s="0" t="s">
        <v>89</v>
      </c>
      <c r="C31" s="0" t="s">
        <v>74</v>
      </c>
      <c r="D31" s="0">
        <f dt2D="0" dtr="0">HYPERLINK("https://www.icra.in/Rating/RatingDetails?CompanyId=0&amp;CompanyName=Accord Motors", "Rationale")</f>
        <v/>
      </c>
    </row>
    <row r="32">
      <c r="A32" s="0" t="s">
        <v>90</v>
      </c>
      <c r="B32" s="0" t="s">
        <v>91</v>
      </c>
      <c r="C32" s="0" t="s">
        <v>92</v>
      </c>
      <c r="D32" s="0">
        <f dt2D="0" dtr="0">HYPERLINK("https://www.icra.in/Rating/RatingDetails?CompanyId=0&amp;CompanyName=Accura Organic Foods", "Rationale")</f>
        <v/>
      </c>
    </row>
    <row r="33">
      <c r="A33" s="0" t="s">
        <v>93</v>
      </c>
      <c r="B33" s="0" t="s">
        <v>94</v>
      </c>
      <c r="C33" s="0" t="s">
        <v>95</v>
      </c>
      <c r="D33" s="0">
        <f dt2D="0" dtr="0">HYPERLINK("https://www.icra.in/Rating/RatingDetails?CompanyId=0&amp;CompanyName=Acme Formulation Private Limited", "Rationale")</f>
        <v/>
      </c>
    </row>
    <row r="34">
      <c r="A34" s="0" t="s">
        <v>96</v>
      </c>
      <c r="B34" s="0" t="s">
        <v>97</v>
      </c>
      <c r="C34" s="0" t="s">
        <v>95</v>
      </c>
      <c r="D34" s="0">
        <f dt2D="0" dtr="0">HYPERLINK("https://www.icra.in/Rating/RatingDetails?CompanyId=0&amp;CompanyName=Acme Generics LLP", "Rationale")</f>
        <v/>
      </c>
    </row>
    <row r="35">
      <c r="A35" s="0" t="s">
        <v>98</v>
      </c>
      <c r="B35" s="0" t="s">
        <v>99</v>
      </c>
      <c r="C35" s="0" t="s">
        <v>100</v>
      </c>
      <c r="D35" s="0">
        <f dt2D="0" dtr="0">HYPERLINK("https://www.icra.in/Rating/RatingDetails?CompanyId=0&amp;CompanyName=ACR Machining Pvt. Ltd.", "Rationale")</f>
        <v/>
      </c>
    </row>
    <row r="36">
      <c r="A36" s="0" t="s">
        <v>101</v>
      </c>
      <c r="B36" s="0" t="s">
        <v>102</v>
      </c>
      <c r="C36" s="0" t="s">
        <v>103</v>
      </c>
      <c r="D36" s="0">
        <f dt2D="0" dtr="0">HYPERLINK("https://www.icra.in/Rating/RatingDetails?CompanyId=0&amp;CompanyName=Action Industrial Corporation", "Rationale")</f>
        <v/>
      </c>
    </row>
    <row r="37">
      <c r="A37" s="0" t="s">
        <v>104</v>
      </c>
      <c r="B37" s="0" t="s">
        <v>105</v>
      </c>
      <c r="C37" s="0" t="s">
        <v>106</v>
      </c>
      <c r="D37" s="0">
        <f dt2D="0" dtr="0">HYPERLINK("https://www.icra.in/Rating/RatingDetails?CompanyId=0&amp;CompanyName=Active Char Products Private Limited", "Rationale")</f>
        <v/>
      </c>
    </row>
    <row r="38">
      <c r="A38" s="0" t="s">
        <v>107</v>
      </c>
      <c r="B38" s="0" t="s">
        <v>108</v>
      </c>
      <c r="C38" s="0" t="s">
        <v>109</v>
      </c>
      <c r="D38" s="0">
        <f dt2D="0" dtr="0">HYPERLINK("https://www.icra.in/Rating/RatingDetails?CompanyId=0&amp;CompanyName=Adams Marketing Pvt. Ltd.", "Rationale")</f>
        <v/>
      </c>
    </row>
    <row r="39">
      <c r="A39" s="0" t="s">
        <v>110</v>
      </c>
      <c r="B39" s="0" t="s">
        <v>111</v>
      </c>
      <c r="C39" s="0" t="s">
        <v>109</v>
      </c>
      <c r="D39" s="0">
        <f dt2D="0" dtr="0">HYPERLINK("https://www.icra.in/Rating/RatingDetails?CompanyId=0&amp;CompanyName=Adarsh Rice Mill", "Rationale")</f>
        <v/>
      </c>
    </row>
    <row r="40">
      <c r="A40" s="0" t="s">
        <v>112</v>
      </c>
      <c r="B40" s="0" t="s">
        <v>113</v>
      </c>
      <c r="C40" s="0" t="s">
        <v>114</v>
      </c>
      <c r="D40" s="0">
        <f dt2D="0" dtr="0">HYPERLINK("https://www.icra.in/Rating/RatingDetails?CompanyId=0&amp;CompanyName=Adarsha Auto World Private Limited", "Rationale")</f>
        <v/>
      </c>
    </row>
    <row r="41">
      <c r="A41" s="0" t="s">
        <v>115</v>
      </c>
      <c r="B41" s="0" t="s">
        <v>116</v>
      </c>
      <c r="C41" s="0" t="s">
        <v>114</v>
      </c>
      <c r="D41" s="0">
        <f dt2D="0" dtr="0">HYPERLINK("https://www.icra.in/Rating/RatingDetails?CompanyId=0&amp;CompanyName=Adarsha Automotives Private Limited", "Rationale")</f>
        <v/>
      </c>
    </row>
    <row r="42">
      <c r="A42" s="0" t="s">
        <v>117</v>
      </c>
      <c r="B42" s="0" t="s">
        <v>118</v>
      </c>
      <c r="C42" s="0" t="s">
        <v>30</v>
      </c>
      <c r="D42" s="0">
        <f dt2D="0" dtr="0">HYPERLINK("https://www.icra.in/Rating/RatingDetails?CompanyId=0&amp;CompanyName=Adarsha Motor Sales Private Limited", "Rationale")</f>
        <v/>
      </c>
    </row>
    <row r="43">
      <c r="A43" s="0" t="s">
        <v>119</v>
      </c>
      <c r="B43" s="0" t="s">
        <v>120</v>
      </c>
      <c r="C43" s="0" t="s">
        <v>121</v>
      </c>
      <c r="D43" s="0">
        <f dt2D="0" dtr="0">HYPERLINK("https://www.icra.in/Rating/RatingDetails?CompanyId=0&amp;CompanyName=Addi Alloys Private Limited", "Rationale")</f>
        <v/>
      </c>
    </row>
    <row r="44">
      <c r="A44" s="0" t="s">
        <v>122</v>
      </c>
      <c r="B44" s="0" t="s">
        <v>123</v>
      </c>
      <c r="C44" s="0" t="s">
        <v>124</v>
      </c>
      <c r="D44" s="0">
        <f dt2D="0" dtr="0">HYPERLINK("https://www.icra.in/Rating/RatingDetails?CompanyId=0&amp;CompanyName=Addica Industries Llp", "Rationale")</f>
        <v/>
      </c>
    </row>
    <row r="45">
      <c r="A45" s="0" t="s">
        <v>125</v>
      </c>
      <c r="B45" s="0" t="s">
        <v>126</v>
      </c>
      <c r="C45" s="0" t="s">
        <v>71</v>
      </c>
      <c r="D45" s="0">
        <f dt2D="0" dtr="0">HYPERLINK("https://www.icra.in/Rating/RatingDetails?CompanyId=0&amp;CompanyName=ADG Agrotech Pvt Ltd", "Rationale")</f>
        <v/>
      </c>
    </row>
    <row r="46">
      <c r="A46" s="0" t="s">
        <v>127</v>
      </c>
      <c r="B46" s="0" t="s">
        <v>128</v>
      </c>
      <c r="C46" s="0" t="s">
        <v>129</v>
      </c>
      <c r="D46" s="0">
        <f dt2D="0" dtr="0">HYPERLINK("https://www.icra.in/Rating/RatingDetails?CompanyId=0&amp;CompanyName=ADH Chemicals Private Limited", "Rationale")</f>
        <v/>
      </c>
    </row>
    <row r="47">
      <c r="A47" s="0" t="s">
        <v>130</v>
      </c>
      <c r="B47" s="0" t="s">
        <v>131</v>
      </c>
      <c r="C47" s="0" t="s">
        <v>132</v>
      </c>
      <c r="D47" s="0">
        <f dt2D="0" dtr="0">HYPERLINK("https://www.icra.in/Rating/RatingDetails?CompanyId=0&amp;CompanyName=Adie Broswon Breweries Private Limited", "Rationale")</f>
        <v/>
      </c>
    </row>
    <row r="48">
      <c r="A48" s="0" t="s">
        <v>133</v>
      </c>
      <c r="B48" s="0" t="s">
        <v>134</v>
      </c>
      <c r="C48" s="0" t="s">
        <v>135</v>
      </c>
      <c r="D48" s="0">
        <f dt2D="0" dtr="0">HYPERLINK("https://www.icra.in/Rating/RatingDetails?CompanyId=0&amp;CompanyName=Adilabad Expressway Private Limited", "Rationale")</f>
        <v/>
      </c>
    </row>
    <row r="49">
      <c r="A49" s="0" t="s">
        <v>136</v>
      </c>
      <c r="B49" s="0" t="s">
        <v>137</v>
      </c>
      <c r="C49" s="0" t="s">
        <v>138</v>
      </c>
      <c r="D49" s="0">
        <f dt2D="0" dtr="0">HYPERLINK("https://www.icra.in/Rating/RatingDetails?CompanyId=0&amp;CompanyName=Adilabad Municipality", "Rationale")</f>
        <v/>
      </c>
    </row>
    <row r="50">
      <c r="A50" s="0" t="s">
        <v>139</v>
      </c>
      <c r="B50" s="0" t="s">
        <v>140</v>
      </c>
      <c r="C50" s="0" t="s">
        <v>141</v>
      </c>
      <c r="D50" s="0">
        <f dt2D="0" dtr="0">HYPERLINK("https://www.icra.in/Rating/RatingDetails?CompanyId=0&amp;CompanyName=Adinath Silks Private Limited (Erst Adinath Silks Limited)", "Rationale")</f>
        <v/>
      </c>
    </row>
    <row r="51">
      <c r="A51" s="0" t="s">
        <v>142</v>
      </c>
      <c r="B51" s="0" t="s">
        <v>143</v>
      </c>
      <c r="C51" s="0" t="s">
        <v>71</v>
      </c>
      <c r="D51" s="0">
        <f dt2D="0" dtr="0">HYPERLINK("https://www.icra.in/Rating/RatingDetails?CompanyId=0&amp;CompanyName=Adino Telecom Limited", "Rationale")</f>
        <v/>
      </c>
    </row>
    <row r="52">
      <c r="A52" s="0" t="s">
        <v>144</v>
      </c>
      <c r="B52" s="0" t="s">
        <v>145</v>
      </c>
      <c r="C52" s="0" t="s">
        <v>146</v>
      </c>
      <c r="D52" s="0">
        <f dt2D="0" dtr="0">HYPERLINK("https://www.icra.in/Rating/RatingDetails?CompanyId=0&amp;CompanyName=Adishakti Alloys Pvt Ltd", "Rationale")</f>
        <v/>
      </c>
    </row>
    <row r="53">
      <c r="A53" s="0" t="s">
        <v>147</v>
      </c>
      <c r="B53" s="0" t="s">
        <v>148</v>
      </c>
      <c r="C53" s="0" t="s">
        <v>149</v>
      </c>
      <c r="D53" s="0">
        <f dt2D="0" dtr="0">HYPERLINK("https://www.icra.in/Rating/RatingDetails?CompanyId=0&amp;CompanyName=Aditya Agro Foods", "Rationale")</f>
        <v/>
      </c>
    </row>
    <row r="54">
      <c r="A54" s="0" t="s">
        <v>150</v>
      </c>
      <c r="B54" s="0" t="s">
        <v>151</v>
      </c>
      <c r="C54" s="0" t="s">
        <v>92</v>
      </c>
      <c r="D54" s="0">
        <f dt2D="0" dtr="0">HYPERLINK("https://www.icra.in/Rating/RatingDetails?CompanyId=0&amp;CompanyName=Aditya Automobile Spares Private Limited", "Rationale")</f>
        <v/>
      </c>
    </row>
    <row r="55">
      <c r="A55" s="0" t="s">
        <v>152</v>
      </c>
      <c r="B55" s="0" t="s">
        <v>153</v>
      </c>
      <c r="C55" s="0" t="s">
        <v>36</v>
      </c>
      <c r="D55" s="0">
        <f dt2D="0" dtr="0">HYPERLINK("https://www.icra.in/Rating/RatingDetails?CompanyId=0&amp;CompanyName=Aditya Constructions", "Rationale")</f>
        <v/>
      </c>
    </row>
    <row r="56">
      <c r="A56" s="0" t="s">
        <v>154</v>
      </c>
      <c r="B56" s="0" t="s">
        <v>155</v>
      </c>
      <c r="C56" s="0" t="s">
        <v>71</v>
      </c>
      <c r="D56" s="0">
        <f dt2D="0" dtr="0">HYPERLINK("https://www.icra.in/Rating/RatingDetails?CompanyId=0&amp;CompanyName=Aditya Hi-Tech Cold Storage", "Rationale")</f>
        <v/>
      </c>
    </row>
    <row r="57">
      <c r="A57" s="0" t="s">
        <v>156</v>
      </c>
      <c r="B57" s="0" t="s">
        <v>157</v>
      </c>
      <c r="C57" s="0" t="s">
        <v>71</v>
      </c>
      <c r="D57" s="0">
        <f dt2D="0" dtr="0">HYPERLINK("https://www.icra.in/Rating/RatingDetails?CompanyId=0&amp;CompanyName=Aditya Vidyut Appliances Limited", "Rationale")</f>
        <v/>
      </c>
    </row>
    <row r="58">
      <c r="A58" s="0" t="s">
        <v>158</v>
      </c>
      <c r="B58" s="0" t="s">
        <v>159</v>
      </c>
      <c r="C58" s="0" t="s">
        <v>160</v>
      </c>
      <c r="D58" s="0">
        <f dt2D="0" dtr="0">HYPERLINK("https://www.icra.in/Rating/RatingDetails?CompanyId=0&amp;CompanyName=Advaith Bio Remedies", "Rationale")</f>
        <v/>
      </c>
    </row>
    <row r="59">
      <c r="A59" s="0" t="s">
        <v>161</v>
      </c>
      <c r="B59" s="0" t="s">
        <v>162</v>
      </c>
      <c r="C59" s="0" t="s">
        <v>6</v>
      </c>
      <c r="D59" s="0">
        <f dt2D="0" dtr="0">HYPERLINK("https://www.icra.in/Rating/RatingDetails?CompanyId=0&amp;CompanyName=Advantage Computers India Private Limited", "Rationale")</f>
        <v/>
      </c>
    </row>
    <row r="60">
      <c r="A60" s="0" t="s">
        <v>163</v>
      </c>
      <c r="B60" s="0" t="s">
        <v>164</v>
      </c>
      <c r="C60" s="0" t="s">
        <v>165</v>
      </c>
      <c r="D60" s="0">
        <f dt2D="0" dtr="0">HYPERLINK("https://www.icra.in/Rating/RatingDetails?CompanyId=0&amp;CompanyName=Advent Enterprises Private Limited", "Rationale")</f>
        <v/>
      </c>
    </row>
    <row r="61">
      <c r="A61" s="0" t="s">
        <v>166</v>
      </c>
      <c r="B61" s="0" t="s">
        <v>167</v>
      </c>
      <c r="C61" s="0" t="s">
        <v>168</v>
      </c>
      <c r="D61" s="0">
        <f dt2D="0" dtr="0">HYPERLINK("https://www.icra.in/Rating/RatingDetails?CompanyId=0&amp;CompanyName=Adya Dairy Products Private Limited", "Rationale")</f>
        <v/>
      </c>
    </row>
    <row r="62">
      <c r="A62" s="0" t="s">
        <v>169</v>
      </c>
      <c r="B62" s="0" t="s">
        <v>170</v>
      </c>
      <c r="C62" s="0" t="s">
        <v>171</v>
      </c>
      <c r="D62" s="0">
        <f dt2D="0" dtr="0">HYPERLINK("https://www.icra.in/Rating/RatingDetails?CompanyId=0&amp;CompanyName=Adyar Gate Hotels Limited", "Rationale")</f>
        <v/>
      </c>
    </row>
    <row r="63">
      <c r="A63" s="0" t="s">
        <v>172</v>
      </c>
      <c r="B63" s="0" t="s">
        <v>173</v>
      </c>
      <c r="C63" s="0" t="s">
        <v>174</v>
      </c>
      <c r="D63" s="0">
        <f dt2D="0" dtr="0">HYPERLINK("https://www.icra.in/Rating/RatingDetails?CompanyId=0&amp;CompanyName=Aeroc Space Technologies Pvt. Ltd.", "Rationale")</f>
        <v/>
      </c>
    </row>
    <row r="64">
      <c r="A64" s="0" t="s">
        <v>175</v>
      </c>
      <c r="B64" s="0" t="s">
        <v>176</v>
      </c>
      <c r="C64" s="0" t="s">
        <v>177</v>
      </c>
      <c r="D64" s="0">
        <f dt2D="0" dtr="0">HYPERLINK("https://www.icra.in/Rating/RatingDetails?CompanyId=0&amp;CompanyName=Affil Vitrified Private Limited", "Rationale")</f>
        <v/>
      </c>
    </row>
    <row r="65">
      <c r="A65" s="0" t="s">
        <v>178</v>
      </c>
      <c r="B65" s="0" t="s">
        <v>179</v>
      </c>
      <c r="C65" s="0" t="s">
        <v>180</v>
      </c>
      <c r="D65" s="0">
        <f dt2D="0" dtr="0">HYPERLINK("https://www.icra.in/Rating/RatingDetails?CompanyId=0&amp;CompanyName=Agarwal Chem Products (India) Pvt. Ltd.", "Rationale")</f>
        <v/>
      </c>
    </row>
    <row r="66">
      <c r="A66" s="0" t="s">
        <v>181</v>
      </c>
      <c r="B66" s="0" t="s">
        <v>182</v>
      </c>
      <c r="C66" s="0" t="s">
        <v>183</v>
      </c>
      <c r="D66" s="0">
        <f dt2D="0" dtr="0">HYPERLINK("https://www.icra.in/Rating/RatingDetails?CompanyId=0&amp;CompanyName=Agarwal Fasteners Private Limited", "Rationale")</f>
        <v/>
      </c>
    </row>
    <row r="67">
      <c r="A67" s="0" t="s">
        <v>184</v>
      </c>
      <c r="B67" s="0" t="s">
        <v>185</v>
      </c>
      <c r="C67" s="0" t="s">
        <v>186</v>
      </c>
      <c r="D67" s="0">
        <f dt2D="0" dtr="0">HYPERLINK("https://www.icra.in/Rating/RatingDetails?CompanyId=0&amp;CompanyName=Agarwal Motors (Prop. of Concord Tie-up Private Limited)", "Rationale")</f>
        <v/>
      </c>
    </row>
    <row r="68">
      <c r="A68" s="0" t="s">
        <v>187</v>
      </c>
      <c r="B68" s="0" t="s">
        <v>188</v>
      </c>
      <c r="C68" s="0" t="s">
        <v>189</v>
      </c>
      <c r="D68" s="0">
        <f dt2D="0" dtr="0">HYPERLINK("https://www.icra.in/Rating/RatingDetails?CompanyId=0&amp;CompanyName=Aggarwal Foods", "Rationale")</f>
        <v/>
      </c>
    </row>
    <row r="69">
      <c r="A69" s="0" t="s">
        <v>190</v>
      </c>
      <c r="B69" s="0" t="s">
        <v>191</v>
      </c>
      <c r="C69" s="0" t="s">
        <v>192</v>
      </c>
      <c r="D69" s="0">
        <f dt2D="0" dtr="0">HYPERLINK("https://www.icra.in/Rating/RatingDetails?CompanyId=0&amp;CompanyName=Agra Oil &amp; General Industries Limited", "Rationale")</f>
        <v/>
      </c>
    </row>
    <row r="70">
      <c r="A70" s="0" t="s">
        <v>193</v>
      </c>
      <c r="B70" s="0" t="s">
        <v>194</v>
      </c>
      <c r="C70" s="0" t="s">
        <v>71</v>
      </c>
      <c r="D70" s="0">
        <f dt2D="0" dtr="0">HYPERLINK("https://www.icra.in/Rating/RatingDetails?CompanyId=0&amp;CompanyName=Agrasia Impex", "Rationale")</f>
        <v/>
      </c>
    </row>
    <row r="71">
      <c r="A71" s="0" t="s">
        <v>195</v>
      </c>
      <c r="B71" s="0" t="s">
        <v>196</v>
      </c>
      <c r="C71" s="0" t="s">
        <v>197</v>
      </c>
      <c r="D71" s="0">
        <f dt2D="0" dtr="0">HYPERLINK("https://www.icra.in/Rating/RatingDetails?CompanyId=0&amp;CompanyName=Agron Logistics India Private Limited", "Rationale")</f>
        <v/>
      </c>
    </row>
    <row r="72">
      <c r="A72" s="0" t="s">
        <v>198</v>
      </c>
      <c r="B72" s="0" t="s">
        <v>199</v>
      </c>
      <c r="C72" s="0" t="s">
        <v>200</v>
      </c>
      <c r="D72" s="0">
        <f dt2D="0" dtr="0">HYPERLINK("https://www.icra.in/Rating/RatingDetails?CompanyId=0&amp;CompanyName=Ahitri Spinning Mills Pvt. Ltd.", "Rationale")</f>
        <v/>
      </c>
    </row>
    <row r="73">
      <c r="A73" s="0" t="s">
        <v>201</v>
      </c>
      <c r="B73" s="0" t="s">
        <v>202</v>
      </c>
      <c r="C73" s="0" t="s">
        <v>71</v>
      </c>
      <c r="D73" s="0">
        <f dt2D="0" dtr="0">HYPERLINK("https://www.icra.in/Rating/RatingDetails?CompanyId=0&amp;CompanyName=Airan Steel &amp; Power Private Limited", "Rationale")</f>
        <v/>
      </c>
    </row>
    <row r="74">
      <c r="A74" s="0" t="s">
        <v>203</v>
      </c>
      <c r="B74" s="0" t="s">
        <v>204</v>
      </c>
      <c r="C74" s="0" t="s">
        <v>71</v>
      </c>
      <c r="D74" s="0">
        <f dt2D="0" dtr="0">HYPERLINK("https://www.icra.in/Rating/RatingDetails?CompanyId=0&amp;CompanyName=Aircel Cellular Limited", "Rationale")</f>
        <v/>
      </c>
    </row>
    <row r="75">
      <c r="A75" s="0" t="s">
        <v>205</v>
      </c>
      <c r="B75" s="0" t="s">
        <v>206</v>
      </c>
      <c r="C75" s="0" t="s">
        <v>71</v>
      </c>
      <c r="D75" s="0">
        <f dt2D="0" dtr="0">HYPERLINK("https://www.icra.in/Rating/RatingDetails?CompanyId=0&amp;CompanyName=Aircel Limited", "Rationale")</f>
        <v/>
      </c>
    </row>
    <row r="76">
      <c r="A76" s="0" t="s">
        <v>207</v>
      </c>
      <c r="B76" s="0" t="s">
        <v>208</v>
      </c>
      <c r="C76" s="0" t="s">
        <v>71</v>
      </c>
      <c r="D76" s="0">
        <f dt2D="0" dtr="0">HYPERLINK("https://www.icra.in/Rating/RatingDetails?CompanyId=0&amp;CompanyName=Aircel Smart Money Limited", "Rationale")</f>
        <v/>
      </c>
    </row>
    <row r="77">
      <c r="A77" s="0" t="s">
        <v>209</v>
      </c>
      <c r="B77" s="0" t="s">
        <v>210</v>
      </c>
      <c r="C77" s="0" t="s">
        <v>211</v>
      </c>
      <c r="D77" s="0">
        <f dt2D="0" dtr="0">HYPERLINK("https://www.icra.in/Rating/RatingDetails?CompanyId=0&amp;CompanyName=Aircon Engineers Private Limited", "Rationale")</f>
        <v/>
      </c>
    </row>
    <row r="78">
      <c r="A78" s="0" t="s">
        <v>212</v>
      </c>
      <c r="B78" s="0" t="s">
        <v>213</v>
      </c>
      <c r="C78" s="0" t="s">
        <v>214</v>
      </c>
      <c r="D78" s="0">
        <f dt2D="0" dtr="0">HYPERLINK("https://www.icra.in/Rating/RatingDetails?CompanyId=0&amp;CompanyName=Airvision India Private Limited", "Rationale")</f>
        <v/>
      </c>
    </row>
    <row r="79">
      <c r="A79" s="0" t="s">
        <v>215</v>
      </c>
      <c r="B79" s="0" t="s">
        <v>216</v>
      </c>
      <c r="C79" s="0" t="s">
        <v>217</v>
      </c>
      <c r="D79" s="0">
        <f dt2D="0" dtr="0">HYPERLINK("https://www.icra.in/Rating/RatingDetails?CompanyId=0&amp;CompanyName=Aithanoli Cibus Products Private Limited", "Rationale")</f>
        <v/>
      </c>
    </row>
    <row r="80">
      <c r="A80" s="0" t="s">
        <v>218</v>
      </c>
      <c r="B80" s="0" t="s">
        <v>219</v>
      </c>
      <c r="C80" s="0" t="s">
        <v>220</v>
      </c>
      <c r="D80" s="0">
        <f dt2D="0" dtr="0">HYPERLINK("https://www.icra.in/Rating/RatingDetails?CompanyId=0&amp;CompanyName=Ajay Engicone Pvt. Ltd.", "Rationale")</f>
        <v/>
      </c>
    </row>
    <row r="81">
      <c r="A81" s="0" t="s">
        <v>221</v>
      </c>
      <c r="B81" s="0" t="s">
        <v>222</v>
      </c>
      <c r="C81" s="0" t="s">
        <v>223</v>
      </c>
      <c r="D81" s="0">
        <f dt2D="0" dtr="0">HYPERLINK("https://www.icra.in/Rating/RatingDetails?CompanyId=0&amp;CompanyName=Ajay Modern Rice Mill", "Rationale")</f>
        <v/>
      </c>
    </row>
    <row r="82">
      <c r="A82" s="0" t="s">
        <v>224</v>
      </c>
      <c r="B82" s="0" t="s">
        <v>225</v>
      </c>
      <c r="C82" s="0" t="s">
        <v>71</v>
      </c>
      <c r="D82" s="0">
        <f dt2D="0" dtr="0">HYPERLINK("https://www.icra.in/Rating/RatingDetails?CompanyId=0&amp;CompanyName=Ajit Kumar Swain", "Rationale")</f>
        <v/>
      </c>
    </row>
    <row r="83">
      <c r="A83" s="0" t="s">
        <v>226</v>
      </c>
      <c r="B83" s="0" t="s">
        <v>227</v>
      </c>
      <c r="C83" s="0" t="s">
        <v>228</v>
      </c>
      <c r="D83" s="0">
        <f dt2D="0" dtr="0">HYPERLINK("https://www.icra.in/Rating/RatingDetails?CompanyId=0&amp;CompanyName=Ajnara India Limited", "Rationale")</f>
        <v/>
      </c>
    </row>
    <row r="84">
      <c r="A84" s="0" t="s">
        <v>229</v>
      </c>
      <c r="B84" s="0" t="s">
        <v>230</v>
      </c>
      <c r="C84" s="0" t="s">
        <v>231</v>
      </c>
      <c r="D84" s="0">
        <f dt2D="0" dtr="0">HYPERLINK("https://www.icra.in/Rating/RatingDetails?CompanyId=0&amp;CompanyName=Ajnara Infrastructure Private Limited", "Rationale")</f>
        <v/>
      </c>
    </row>
    <row r="85">
      <c r="A85" s="0" t="s">
        <v>232</v>
      </c>
      <c r="B85" s="0" t="s">
        <v>233</v>
      </c>
      <c r="C85" s="0" t="s">
        <v>18</v>
      </c>
      <c r="D85" s="0">
        <f dt2D="0" dtr="0">HYPERLINK("https://www.icra.in/Rating/RatingDetails?CompanyId=0&amp;CompanyName=Akal Information Systems Ltd", "Rationale")</f>
        <v/>
      </c>
    </row>
    <row r="86">
      <c r="A86" s="0" t="s">
        <v>234</v>
      </c>
      <c r="B86" s="0" t="s">
        <v>235</v>
      </c>
      <c r="C86" s="0" t="s">
        <v>236</v>
      </c>
      <c r="D86" s="0">
        <f dt2D="0" dtr="0">HYPERLINK("https://www.icra.in/Rating/RatingDetails?CompanyId=0&amp;CompanyName=Akal Pipe Industries", "Rationale")</f>
        <v/>
      </c>
    </row>
    <row r="87">
      <c r="A87" s="0" t="s">
        <v>237</v>
      </c>
      <c r="B87" s="0" t="s">
        <v>238</v>
      </c>
      <c r="C87" s="0" t="s">
        <v>239</v>
      </c>
      <c r="D87" s="0">
        <f dt2D="0" dtr="0">HYPERLINK("https://www.icra.in/Rating/RatingDetails?CompanyId=0&amp;CompanyName=Akanksha Automobiles (P) Ltd", "Rationale")</f>
        <v/>
      </c>
    </row>
    <row r="88">
      <c r="A88" s="0" t="s">
        <v>240</v>
      </c>
      <c r="B88" s="0" t="s">
        <v>241</v>
      </c>
      <c r="C88" s="0" t="s">
        <v>242</v>
      </c>
      <c r="D88" s="0">
        <f dt2D="0" dtr="0">HYPERLINK("https://www.icra.in/Rating/RatingDetails?CompanyId=0&amp;CompanyName=Akash Enterprises", "Rationale")</f>
        <v/>
      </c>
    </row>
    <row r="89">
      <c r="A89" s="0" t="s">
        <v>243</v>
      </c>
      <c r="B89" s="0" t="s">
        <v>244</v>
      </c>
      <c r="C89" s="0" t="s">
        <v>50</v>
      </c>
      <c r="D89" s="0">
        <f dt2D="0" dtr="0">HYPERLINK("https://www.icra.in/Rating/RatingDetails?CompanyId=0&amp;CompanyName=Akasva Infrastructure Pvt Ltd", "Rationale")</f>
        <v/>
      </c>
    </row>
    <row r="90">
      <c r="A90" s="0" t="s">
        <v>245</v>
      </c>
      <c r="B90" s="0" t="s">
        <v>246</v>
      </c>
      <c r="C90" s="0" t="s">
        <v>247</v>
      </c>
      <c r="D90" s="0">
        <f dt2D="0" dtr="0">HYPERLINK("https://www.icra.in/Rating/RatingDetails?CompanyId=0&amp;CompanyName=Aklavya Industries Pvt. Ltd.", "Rationale")</f>
        <v/>
      </c>
    </row>
    <row r="91">
      <c r="A91" s="0" t="s">
        <v>248</v>
      </c>
      <c r="B91" s="0" t="s">
        <v>249</v>
      </c>
      <c r="C91" s="0" t="s">
        <v>250</v>
      </c>
      <c r="D91" s="0">
        <f dt2D="0" dtr="0">HYPERLINK("https://www.icra.in/Rating/RatingDetails?CompanyId=0&amp;CompanyName=AKR Impex Private Limited", "Rationale")</f>
        <v/>
      </c>
    </row>
    <row r="92">
      <c r="A92" s="0" t="s">
        <v>251</v>
      </c>
      <c r="B92" s="0" t="s">
        <v>252</v>
      </c>
      <c r="C92" s="0" t="s">
        <v>253</v>
      </c>
      <c r="D92" s="0">
        <f dt2D="0" dtr="0">HYPERLINK("https://www.icra.in/Rating/RatingDetails?CompanyId=0&amp;CompanyName=AKS Alloys Private Limited", "Rationale")</f>
        <v/>
      </c>
    </row>
    <row r="93">
      <c r="A93" s="0" t="s">
        <v>254</v>
      </c>
      <c r="B93" s="0" t="s">
        <v>255</v>
      </c>
      <c r="C93" s="0" t="s">
        <v>256</v>
      </c>
      <c r="D93" s="0">
        <f dt2D="0" dtr="0">HYPERLINK("https://www.icra.in/Rating/RatingDetails?CompanyId=0&amp;CompanyName=Akshar Cotton Industries", "Rationale")</f>
        <v/>
      </c>
    </row>
    <row r="94">
      <c r="A94" s="0" t="s">
        <v>257</v>
      </c>
      <c r="B94" s="0" t="s">
        <v>258</v>
      </c>
      <c r="C94" s="0" t="s">
        <v>259</v>
      </c>
      <c r="D94" s="0">
        <f dt2D="0" dtr="0">HYPERLINK("https://www.icra.in/Rating/RatingDetails?CompanyId=0&amp;CompanyName=Akshar Ginning And Pressing Industries", "Rationale")</f>
        <v/>
      </c>
    </row>
    <row r="95">
      <c r="A95" s="0" t="s">
        <v>260</v>
      </c>
      <c r="B95" s="0" t="s">
        <v>261</v>
      </c>
      <c r="C95" s="0" t="s">
        <v>262</v>
      </c>
      <c r="D95" s="0">
        <f dt2D="0" dtr="0">HYPERLINK("https://www.icra.in/Rating/RatingDetails?CompanyId=0&amp;CompanyName=Akshara Motors Private Limited", "Rationale")</f>
        <v/>
      </c>
    </row>
    <row r="96">
      <c r="A96" s="0" t="s">
        <v>263</v>
      </c>
      <c r="B96" s="0" t="s">
        <v>264</v>
      </c>
      <c r="C96" s="0" t="s">
        <v>265</v>
      </c>
      <c r="D96" s="0">
        <f dt2D="0" dtr="0">HYPERLINK("https://www.icra.in/Rating/RatingDetails?CompanyId=0&amp;CompanyName=Akshat Roller Flour Mills Private Limited", "Rationale")</f>
        <v/>
      </c>
    </row>
    <row r="97">
      <c r="A97" s="0" t="s">
        <v>266</v>
      </c>
      <c r="B97" s="0" t="s">
        <v>267</v>
      </c>
      <c r="C97" s="0" t="s">
        <v>71</v>
      </c>
      <c r="D97" s="0">
        <f dt2D="0" dtr="0">HYPERLINK("https://www.icra.in/Rating/RatingDetails?CompanyId=0&amp;CompanyName=Al - Ayaan Foods Private Limited", "Rationale")</f>
        <v/>
      </c>
    </row>
    <row r="98">
      <c r="A98" s="0" t="s">
        <v>268</v>
      </c>
      <c r="B98" s="0" t="s">
        <v>269</v>
      </c>
      <c r="C98" s="0" t="s">
        <v>192</v>
      </c>
      <c r="D98" s="0">
        <f dt2D="0" dtr="0">HYPERLINK("https://www.icra.in/Rating/RatingDetails?CompanyId=0&amp;CompanyName=Alapatt Jewellery (House of Alapatt)", "Rationale")</f>
        <v/>
      </c>
    </row>
    <row r="99">
      <c r="A99" s="0" t="s">
        <v>270</v>
      </c>
      <c r="B99" s="0" t="s">
        <v>271</v>
      </c>
      <c r="C99" s="0" t="s">
        <v>192</v>
      </c>
      <c r="D99" s="0">
        <f dt2D="0" dtr="0">HYPERLINK("https://www.icra.in/Rating/RatingDetails?CompanyId=0&amp;CompanyName=Alapatt Jewels", "Rationale")</f>
        <v/>
      </c>
    </row>
    <row r="100">
      <c r="A100" s="0" t="s">
        <v>272</v>
      </c>
      <c r="B100" s="0" t="s">
        <v>273</v>
      </c>
      <c r="C100" s="0" t="s">
        <v>6</v>
      </c>
      <c r="D100" s="0">
        <f dt2D="0" dtr="0">HYPERLINK("https://www.icra.in/Rating/RatingDetails?CompanyId=0&amp;CompanyName=Alivelu Rice Products", "Rationale")</f>
        <v/>
      </c>
    </row>
    <row r="101">
      <c r="A101" s="0" t="s">
        <v>274</v>
      </c>
      <c r="B101" s="0" t="s">
        <v>275</v>
      </c>
      <c r="C101" s="0" t="s">
        <v>50</v>
      </c>
      <c r="D101" s="0">
        <f dt2D="0" dtr="0">HYPERLINK("https://www.icra.in/Rating/RatingDetails?CompanyId=0&amp;CompanyName=Allied Energy Systems Private Limited", "Rationale")</f>
        <v/>
      </c>
    </row>
    <row r="102">
      <c r="A102" s="0" t="s">
        <v>276</v>
      </c>
      <c r="B102" s="0" t="s">
        <v>277</v>
      </c>
      <c r="C102" s="0" t="s">
        <v>278</v>
      </c>
      <c r="D102" s="0">
        <f dt2D="0" dtr="0">HYPERLINK("https://www.icra.in/Rating/RatingDetails?CompanyId=0&amp;CompanyName=Allix Ceramic Private Limited", "Rationale")</f>
        <v/>
      </c>
    </row>
    <row r="103">
      <c r="A103" s="0" t="s">
        <v>279</v>
      </c>
      <c r="B103" s="0" t="s">
        <v>280</v>
      </c>
      <c r="C103" s="0" t="s">
        <v>281</v>
      </c>
      <c r="D103" s="0">
        <f dt2D="0" dtr="0">HYPERLINK("https://www.icra.in/Rating/RatingDetails?CompanyId=0&amp;CompanyName=Alluri Usha Gandhi", "Rationale")</f>
        <v/>
      </c>
    </row>
    <row r="104">
      <c r="A104" s="0" t="s">
        <v>282</v>
      </c>
      <c r="B104" s="0" t="s">
        <v>283</v>
      </c>
      <c r="C104" s="0" t="s">
        <v>284</v>
      </c>
      <c r="D104" s="0">
        <f dt2D="0" dtr="0">HYPERLINK("https://www.icra.in/Rating/RatingDetails?CompanyId=0&amp;CompanyName=ALM Industries Limited", "Rationale")</f>
        <v/>
      </c>
    </row>
    <row r="105">
      <c r="A105" s="0" t="s">
        <v>285</v>
      </c>
      <c r="B105" s="0" t="s">
        <v>286</v>
      </c>
      <c r="C105" s="0" t="s">
        <v>287</v>
      </c>
      <c r="D105" s="0">
        <f dt2D="0" dtr="0">HYPERLINK("https://www.icra.in/Rating/RatingDetails?CompanyId=0&amp;CompanyName=Al-Nasir Exports Private Limited", "Rationale")</f>
        <v/>
      </c>
    </row>
    <row r="106">
      <c r="A106" s="0" t="s">
        <v>288</v>
      </c>
      <c r="B106" s="0" t="s">
        <v>289</v>
      </c>
      <c r="C106" s="0" t="s">
        <v>290</v>
      </c>
      <c r="D106" s="0">
        <f dt2D="0" dtr="0">HYPERLINK("https://www.icra.in/Rating/RatingDetails?CompanyId=0&amp;CompanyName=Alok Glass Works", "Rationale")</f>
        <v/>
      </c>
    </row>
    <row r="107">
      <c r="A107" s="0" t="s">
        <v>291</v>
      </c>
      <c r="B107" s="0" t="s">
        <v>292</v>
      </c>
      <c r="C107" s="0" t="s">
        <v>293</v>
      </c>
      <c r="D107" s="0">
        <f dt2D="0" dtr="0">HYPERLINK("https://www.icra.in/Rating/RatingDetails?CompanyId=0&amp;CompanyName=Alpha Milk Foods Pvt. Ltd.", "Rationale")</f>
        <v/>
      </c>
    </row>
    <row r="108">
      <c r="A108" s="0" t="s">
        <v>294</v>
      </c>
      <c r="B108" s="0" t="s">
        <v>295</v>
      </c>
      <c r="C108" s="0" t="s">
        <v>71</v>
      </c>
      <c r="D108" s="0">
        <f dt2D="0" dtr="0">HYPERLINK("https://www.icra.in/Rating/RatingDetails?CompanyId=0&amp;CompanyName=Alpine Panels Pvt. Ltd", "Rationale")</f>
        <v/>
      </c>
    </row>
    <row r="109">
      <c r="A109" s="0" t="s">
        <v>296</v>
      </c>
      <c r="B109" s="0" t="s">
        <v>297</v>
      </c>
      <c r="C109" s="0" t="s">
        <v>298</v>
      </c>
      <c r="D109" s="0">
        <f dt2D="0" dtr="0">HYPERLINK("https://www.icra.in/Rating/RatingDetails?CompanyId=0&amp;CompanyName=Alpine Poly Rub Private Limited", "Rationale")</f>
        <v/>
      </c>
    </row>
    <row r="110">
      <c r="A110" s="0" t="s">
        <v>299</v>
      </c>
      <c r="B110" s="0" t="s">
        <v>300</v>
      </c>
      <c r="C110" s="0" t="s">
        <v>301</v>
      </c>
      <c r="D110" s="0">
        <f dt2D="0" dtr="0">HYPERLINK("https://www.icra.in/Rating/RatingDetails?CompanyId=0&amp;CompanyName=Al-Rkayan Apparels &amp; Exports Private Limited", "Rationale")</f>
        <v/>
      </c>
    </row>
    <row r="111">
      <c r="A111" s="0" t="s">
        <v>302</v>
      </c>
      <c r="B111" s="0" t="s">
        <v>303</v>
      </c>
      <c r="C111" s="0" t="s">
        <v>71</v>
      </c>
      <c r="D111" s="0">
        <f dt2D="0" dtr="0">HYPERLINK("https://www.icra.in/Rating/RatingDetails?CompanyId=0&amp;CompanyName=Altech Infrastructure Pvt. Ltd.", "Rationale")</f>
        <v/>
      </c>
    </row>
    <row r="112">
      <c r="A112" s="0" t="s">
        <v>304</v>
      </c>
      <c r="B112" s="0" t="s">
        <v>305</v>
      </c>
      <c r="C112" s="0" t="s">
        <v>306</v>
      </c>
      <c r="D112" s="0">
        <f dt2D="0" dtr="0">HYPERLINK("https://www.icra.in/Rating/RatingDetails?CompanyId=0&amp;CompanyName=Aluminium India", "Rationale")</f>
        <v/>
      </c>
    </row>
    <row r="113">
      <c r="A113" s="0" t="s">
        <v>307</v>
      </c>
      <c r="B113" s="0" t="s">
        <v>308</v>
      </c>
      <c r="C113" s="0" t="s">
        <v>236</v>
      </c>
      <c r="D113" s="0">
        <f dt2D="0" dtr="0">HYPERLINK("https://www.icra.in/Rating/RatingDetails?CompanyId=0&amp;CompanyName=Amarnath Aggarwal Constructions", "Rationale")</f>
        <v/>
      </c>
    </row>
    <row r="114">
      <c r="A114" s="0" t="s">
        <v>309</v>
      </c>
      <c r="B114" s="0" t="s">
        <v>310</v>
      </c>
      <c r="C114" s="0" t="s">
        <v>311</v>
      </c>
      <c r="D114" s="0">
        <f dt2D="0" dtr="0">HYPERLINK("https://www.icra.in/Rating/RatingDetails?CompanyId=0&amp;CompanyName=Amazoone Ceramics Ltd.", "Rationale")</f>
        <v/>
      </c>
    </row>
    <row r="115">
      <c r="A115" s="0" t="s">
        <v>312</v>
      </c>
      <c r="B115" s="0" t="s">
        <v>313</v>
      </c>
      <c r="C115" s="0" t="s">
        <v>314</v>
      </c>
      <c r="D115" s="0">
        <f dt2D="0" dtr="0">HYPERLINK("https://www.icra.in/Rating/RatingDetails?CompanyId=0&amp;CompanyName=Ambati Subbanna &amp; Company Oil Firm", "Rationale")</f>
        <v/>
      </c>
    </row>
    <row r="116">
      <c r="A116" s="0" t="s">
        <v>315</v>
      </c>
      <c r="B116" s="0" t="s">
        <v>316</v>
      </c>
      <c r="C116" s="0" t="s">
        <v>317</v>
      </c>
      <c r="D116" s="0">
        <f dt2D="0" dtr="0">HYPERLINK("https://www.icra.in/Rating/RatingDetails?CompanyId=0&amp;CompanyName=Ambica Timbertrade Pvt. Ltd.", "Rationale")</f>
        <v/>
      </c>
    </row>
    <row r="117">
      <c r="A117" s="0" t="s">
        <v>318</v>
      </c>
      <c r="B117" s="0" t="s">
        <v>319</v>
      </c>
      <c r="C117" s="0" t="s">
        <v>197</v>
      </c>
      <c r="D117" s="0">
        <f dt2D="0" dtr="0">HYPERLINK("https://www.icra.in/Rating/RatingDetails?CompanyId=0&amp;CompanyName=Ambuja Pipes Private Limited", "Rationale")</f>
        <v/>
      </c>
    </row>
    <row r="118">
      <c r="A118" s="0" t="s">
        <v>320</v>
      </c>
      <c r="B118" s="0" t="s">
        <v>321</v>
      </c>
      <c r="C118" s="0" t="s">
        <v>183</v>
      </c>
      <c r="D118" s="0">
        <f dt2D="0" dtr="0">HYPERLINK("https://www.icra.in/Rating/RatingDetails?CompanyId=0&amp;CompanyName=Ami Riddhi Chem Pvt. Ltd.", "Rationale")</f>
        <v/>
      </c>
    </row>
    <row r="119">
      <c r="A119" s="0" t="s">
        <v>322</v>
      </c>
      <c r="B119" s="0" t="s">
        <v>323</v>
      </c>
      <c r="C119" s="0" t="s">
        <v>324</v>
      </c>
      <c r="D119" s="0">
        <f dt2D="0" dtr="0">HYPERLINK("https://www.icra.in/Rating/RatingDetails?CompanyId=0&amp;CompanyName=Amit Engineers", "Rationale")</f>
        <v/>
      </c>
    </row>
    <row r="120">
      <c r="A120" s="0" t="s">
        <v>325</v>
      </c>
      <c r="B120" s="0" t="s">
        <v>326</v>
      </c>
      <c r="C120" s="0" t="s">
        <v>327</v>
      </c>
      <c r="D120" s="0">
        <f dt2D="0" dtr="0">HYPERLINK("https://www.icra.in/Rating/RatingDetails?CompanyId=0&amp;CompanyName=Amit Enterprises Housing Limited", "Rationale")</f>
        <v/>
      </c>
    </row>
    <row r="121">
      <c r="A121" s="0" t="s">
        <v>328</v>
      </c>
      <c r="B121" s="0" t="s">
        <v>329</v>
      </c>
      <c r="C121" s="0" t="s">
        <v>71</v>
      </c>
      <c r="D121" s="0">
        <f dt2D="0" dtr="0">HYPERLINK("https://www.icra.in/Rating/RatingDetails?CompanyId=0&amp;CompanyName=Amit Polypipes Private Limited", "Rationale")</f>
        <v/>
      </c>
    </row>
    <row r="122">
      <c r="A122" s="0" t="s">
        <v>330</v>
      </c>
      <c r="B122" s="0" t="s">
        <v>331</v>
      </c>
      <c r="C122" s="0" t="s">
        <v>71</v>
      </c>
      <c r="D122" s="0">
        <f dt2D="0" dtr="0">HYPERLINK("https://www.icra.in/Rating/RatingDetails?CompanyId=0&amp;CompanyName=Amma Chandravati Educational &amp; Charitable Trust", "Rationale")</f>
        <v/>
      </c>
    </row>
    <row r="123">
      <c r="A123" s="0" t="s">
        <v>332</v>
      </c>
      <c r="B123" s="0" t="s">
        <v>333</v>
      </c>
      <c r="C123" s="0" t="s">
        <v>71</v>
      </c>
      <c r="D123" s="0">
        <f dt2D="0" dtr="0">HYPERLINK("https://www.icra.in/Rating/RatingDetails?CompanyId=0&amp;CompanyName=Amon-Ra Impex Private Limited", "Rationale")</f>
        <v/>
      </c>
    </row>
    <row r="124">
      <c r="A124" s="0" t="s">
        <v>334</v>
      </c>
      <c r="B124" s="0" t="s">
        <v>335</v>
      </c>
      <c r="C124" s="0" t="s">
        <v>256</v>
      </c>
      <c r="D124" s="0">
        <f dt2D="0" dtr="0">HYPERLINK("https://www.icra.in/Rating/RatingDetails?CompanyId=0&amp;CompanyName=Amrut Cotton Industries", "Rationale")</f>
        <v/>
      </c>
    </row>
    <row r="125">
      <c r="A125" s="0" t="s">
        <v>336</v>
      </c>
      <c r="B125" s="0" t="s">
        <v>337</v>
      </c>
      <c r="C125" s="0" t="s">
        <v>338</v>
      </c>
      <c r="D125" s="0">
        <f dt2D="0" dtr="0">HYPERLINK("https://www.icra.in/Rating/RatingDetails?CompanyId=0&amp;CompanyName=Analyser Instrument Company Private Limited", "Rationale")</f>
        <v/>
      </c>
    </row>
    <row r="126">
      <c r="A126" s="0" t="s">
        <v>339</v>
      </c>
      <c r="B126" s="0" t="s">
        <v>340</v>
      </c>
      <c r="C126" s="0" t="s">
        <v>183</v>
      </c>
      <c r="D126" s="0">
        <f dt2D="0" dtr="0">HYPERLINK("https://www.icra.in/Rating/RatingDetails?CompanyId=0&amp;CompanyName=Anand Cranks", "Rationale")</f>
        <v/>
      </c>
    </row>
    <row r="127">
      <c r="A127" s="0" t="s">
        <v>341</v>
      </c>
      <c r="B127" s="0" t="s">
        <v>342</v>
      </c>
      <c r="C127" s="0" t="s">
        <v>343</v>
      </c>
      <c r="D127" s="0">
        <f dt2D="0" dtr="0">HYPERLINK("https://www.icra.in/Rating/RatingDetails?CompanyId=0&amp;CompanyName=Anand Rice Mills", "Rationale")</f>
        <v/>
      </c>
    </row>
    <row r="128">
      <c r="A128" s="0" t="s">
        <v>344</v>
      </c>
      <c r="B128" s="0" t="s">
        <v>345</v>
      </c>
      <c r="C128" s="0" t="s">
        <v>346</v>
      </c>
      <c r="D128" s="0">
        <f dt2D="0" dtr="0">HYPERLINK("https://www.icra.in/Rating/RatingDetails?CompanyId=0&amp;CompanyName=Anandalok Hospital", "Rationale")</f>
        <v/>
      </c>
    </row>
    <row r="129">
      <c r="A129" s="0" t="s">
        <v>347</v>
      </c>
      <c r="B129" s="0" t="s">
        <v>348</v>
      </c>
      <c r="C129" s="0" t="s">
        <v>71</v>
      </c>
      <c r="D129" s="0">
        <f dt2D="0" dtr="0">HYPERLINK("https://www.icra.in/Rating/RatingDetails?CompanyId=0&amp;CompanyName=Anant Promoters And Fincon Private Limited", "Rationale")</f>
        <v/>
      </c>
    </row>
    <row r="130">
      <c r="A130" s="0" t="s">
        <v>349</v>
      </c>
      <c r="B130" s="0" t="s">
        <v>350</v>
      </c>
      <c r="C130" s="0" t="s">
        <v>351</v>
      </c>
      <c r="D130" s="0">
        <f dt2D="0" dtr="0">HYPERLINK("https://www.icra.in/Rating/RatingDetails?CompanyId=0&amp;CompanyName=Anantha PVC Pipes Private Limited", "Rationale")</f>
        <v/>
      </c>
    </row>
    <row r="131">
      <c r="A131" s="0" t="s">
        <v>352</v>
      </c>
      <c r="B131" s="0" t="s">
        <v>353</v>
      </c>
      <c r="C131" s="0" t="s">
        <v>71</v>
      </c>
      <c r="D131" s="0">
        <f dt2D="0" dtr="0">HYPERLINK("https://www.icra.in/Rating/RatingDetails?CompanyId=0&amp;CompanyName=Ananya Hospital Private Limited", "Rationale")</f>
        <v/>
      </c>
    </row>
    <row r="132">
      <c r="A132" s="0" t="s">
        <v>354</v>
      </c>
      <c r="B132" s="0" t="s">
        <v>355</v>
      </c>
      <c r="C132" s="0" t="s">
        <v>146</v>
      </c>
      <c r="D132" s="0">
        <f dt2D="0" dtr="0">HYPERLINK("https://www.icra.in/Rating/RatingDetails?CompanyId=0&amp;CompanyName=Andhra Ferro Alloys Limited", "Rationale")</f>
        <v/>
      </c>
    </row>
    <row r="133">
      <c r="A133" s="0" t="s">
        <v>356</v>
      </c>
      <c r="B133" s="0" t="s">
        <v>357</v>
      </c>
      <c r="C133" s="0" t="s">
        <v>358</v>
      </c>
      <c r="D133" s="0">
        <f dt2D="0" dtr="0">HYPERLINK("https://www.icra.in/Rating/RatingDetails?CompanyId=0&amp;CompanyName=Andhra Polymers Private Limited", "Rationale")</f>
        <v/>
      </c>
    </row>
    <row r="134">
      <c r="A134" s="0" t="s">
        <v>359</v>
      </c>
      <c r="B134" s="0" t="s">
        <v>360</v>
      </c>
      <c r="C134" s="0" t="s">
        <v>361</v>
      </c>
      <c r="D134" s="0">
        <f dt2D="0" dtr="0">HYPERLINK("https://www.icra.in/Rating/RatingDetails?CompanyId=0&amp;CompanyName=Aneesh Ahmad Khan", "Rationale")</f>
        <v/>
      </c>
    </row>
    <row r="135">
      <c r="A135" s="0" t="s">
        <v>362</v>
      </c>
      <c r="B135" s="0" t="s">
        <v>363</v>
      </c>
      <c r="C135" s="0" t="s">
        <v>364</v>
      </c>
      <c r="D135" s="0">
        <f dt2D="0" dtr="0">HYPERLINK("https://www.icra.in/Rating/RatingDetails?CompanyId=0&amp;CompanyName=Anil Neerukonda Educational Society", "Rationale")</f>
        <v/>
      </c>
    </row>
    <row r="136">
      <c r="A136" s="0" t="s">
        <v>365</v>
      </c>
      <c r="B136" s="0" t="s">
        <v>366</v>
      </c>
      <c r="C136" s="0" t="s">
        <v>146</v>
      </c>
      <c r="D136" s="0">
        <f dt2D="0" dtr="0">HYPERLINK("https://www.icra.in/Rating/RatingDetails?CompanyId=0&amp;CompanyName=Anisha Enterprises", "Rationale")</f>
        <v/>
      </c>
    </row>
    <row r="137">
      <c r="A137" s="0" t="s">
        <v>367</v>
      </c>
      <c r="B137" s="0" t="s">
        <v>368</v>
      </c>
      <c r="C137" s="0" t="s">
        <v>369</v>
      </c>
      <c r="D137" s="0">
        <f dt2D="0" dtr="0">HYPERLINK("https://www.icra.in/Rating/RatingDetails?CompanyId=0&amp;CompanyName=Anishka Developers Private Limited", "Rationale")</f>
        <v/>
      </c>
    </row>
    <row r="138">
      <c r="A138" s="0" t="s">
        <v>370</v>
      </c>
      <c r="B138" s="0" t="s">
        <v>371</v>
      </c>
      <c r="C138" s="0" t="s">
        <v>372</v>
      </c>
      <c r="D138" s="0">
        <f dt2D="0" dtr="0">HYPERLINK("https://www.icra.in/Rating/RatingDetails?CompanyId=0&amp;CompanyName=Anjali Infracrete Private Limited", "Rationale")</f>
        <v/>
      </c>
    </row>
    <row r="139">
      <c r="A139" s="0" t="s">
        <v>373</v>
      </c>
      <c r="B139" s="0" t="s">
        <v>374</v>
      </c>
      <c r="C139" s="0" t="s">
        <v>375</v>
      </c>
      <c r="D139" s="0">
        <f dt2D="0" dtr="0">HYPERLINK("https://www.icra.in/Rating/RatingDetails?CompanyId=0&amp;CompanyName=Anjaneya Rice Industries", "Rationale")</f>
        <v/>
      </c>
    </row>
    <row r="140">
      <c r="A140" s="0" t="s">
        <v>376</v>
      </c>
      <c r="B140" s="0" t="s">
        <v>377</v>
      </c>
      <c r="C140" s="0" t="s">
        <v>50</v>
      </c>
      <c r="D140" s="0">
        <f dt2D="0" dtr="0">HYPERLINK("https://www.icra.in/Rating/RatingDetails?CompanyId=0&amp;CompanyName=Ankit Diamonds", "Rationale")</f>
        <v/>
      </c>
    </row>
    <row r="141">
      <c r="A141" s="0" t="s">
        <v>378</v>
      </c>
      <c r="B141" s="0" t="s">
        <v>379</v>
      </c>
      <c r="C141" s="0" t="s">
        <v>380</v>
      </c>
      <c r="D141" s="0">
        <f dt2D="0" dtr="0">HYPERLINK("https://www.icra.in/Rating/RatingDetails?CompanyId=0&amp;CompanyName=Ankit Pulps And Boards Private Limited", "Rationale")</f>
        <v/>
      </c>
    </row>
    <row r="142">
      <c r="A142" s="0" t="s">
        <v>381</v>
      </c>
      <c r="B142" s="0" t="s">
        <v>382</v>
      </c>
      <c r="C142" s="0" t="s">
        <v>71</v>
      </c>
      <c r="D142" s="0">
        <f dt2D="0" dtr="0">HYPERLINK("https://www.icra.in/Rating/RatingDetails?CompanyId=0&amp;CompanyName=Anmol Cold Storage", "Rationale")</f>
        <v/>
      </c>
    </row>
    <row r="143">
      <c r="A143" s="0" t="s">
        <v>383</v>
      </c>
      <c r="B143" s="0" t="s">
        <v>384</v>
      </c>
      <c r="C143" s="0" t="s">
        <v>385</v>
      </c>
      <c r="D143" s="0">
        <f dt2D="0" dtr="0">HYPERLINK("https://www.icra.in/Rating/RatingDetails?CompanyId=0&amp;CompanyName=Anmol Feeds Private Limited", "Rationale")</f>
        <v/>
      </c>
    </row>
    <row r="144">
      <c r="A144" s="0" t="s">
        <v>386</v>
      </c>
      <c r="B144" s="0" t="s">
        <v>387</v>
      </c>
      <c r="C144" s="0" t="s">
        <v>388</v>
      </c>
      <c r="D144" s="0">
        <f dt2D="0" dtr="0">HYPERLINK("https://www.icra.in/Rating/RatingDetails?CompanyId=0&amp;CompanyName=Annadata Rice Mill", "Rationale")</f>
        <v/>
      </c>
    </row>
    <row r="145">
      <c r="A145" s="0" t="s">
        <v>389</v>
      </c>
      <c r="B145" s="0" t="s">
        <v>390</v>
      </c>
      <c r="C145" s="0" t="s">
        <v>391</v>
      </c>
      <c r="D145" s="0">
        <f dt2D="0" dtr="0">HYPERLINK("https://www.icra.in/Rating/RatingDetails?CompanyId=0&amp;CompanyName=Annapoorani Yarns", "Rationale")</f>
        <v/>
      </c>
    </row>
    <row r="146">
      <c r="A146" s="0" t="s">
        <v>392</v>
      </c>
      <c r="B146" s="0" t="s">
        <v>393</v>
      </c>
      <c r="C146" s="0" t="s">
        <v>394</v>
      </c>
      <c r="D146" s="0">
        <f dt2D="0" dtr="0">HYPERLINK("https://www.icra.in/Rating/RatingDetails?CompanyId=0&amp;CompanyName=Annapurna Industries", "Rationale")</f>
        <v/>
      </c>
    </row>
    <row r="147">
      <c r="A147" s="0" t="s">
        <v>395</v>
      </c>
      <c r="B147" s="0" t="s">
        <v>396</v>
      </c>
      <c r="C147" s="0" t="s">
        <v>50</v>
      </c>
      <c r="D147" s="0">
        <f dt2D="0" dtr="0">HYPERLINK("https://www.icra.in/Rating/RatingDetails?CompanyId=0&amp;CompanyName=Annapurna Trading Company", "Rationale")</f>
        <v/>
      </c>
    </row>
    <row r="148">
      <c r="A148" s="0" t="s">
        <v>397</v>
      </c>
      <c r="B148" s="0" t="s">
        <v>398</v>
      </c>
      <c r="C148" s="0" t="s">
        <v>399</v>
      </c>
      <c r="D148" s="0">
        <f dt2D="0" dtr="0">HYPERLINK("https://www.icra.in/Rating/RatingDetails?CompanyId=0&amp;CompanyName=Ansaldocaldaie GB Engineering Private Limited", "Rationale")</f>
        <v/>
      </c>
    </row>
    <row r="149">
      <c r="A149" s="0" t="s">
        <v>400</v>
      </c>
      <c r="B149" s="0" t="s">
        <v>401</v>
      </c>
      <c r="C149" s="0" t="s">
        <v>402</v>
      </c>
      <c r="D149" s="0">
        <f dt2D="0" dtr="0">HYPERLINK("https://www.icra.in/Rating/RatingDetails?CompanyId=0&amp;CompanyName=Anshul Impex Private Limited", "Rationale")</f>
        <v/>
      </c>
    </row>
    <row r="150">
      <c r="A150" s="0" t="s">
        <v>403</v>
      </c>
      <c r="B150" s="0" t="s">
        <v>404</v>
      </c>
      <c r="C150" s="0" t="s">
        <v>405</v>
      </c>
      <c r="D150" s="0">
        <f dt2D="0" dtr="0">HYPERLINK("https://www.icra.in/Rating/RatingDetails?CompanyId=0&amp;CompanyName=Antique Art Exports Pvt. Ltd.", "Rationale")</f>
        <v/>
      </c>
    </row>
    <row r="151">
      <c r="A151" s="0" t="s">
        <v>406</v>
      </c>
      <c r="B151" s="0" t="s">
        <v>407</v>
      </c>
      <c r="C151" s="0" t="s">
        <v>338</v>
      </c>
      <c r="D151" s="0">
        <f dt2D="0" dtr="0">HYPERLINK("https://www.icra.in/Rating/RatingDetails?CompanyId=0&amp;CompanyName=Antique Cottex Private Limited", "Rationale")</f>
        <v/>
      </c>
    </row>
    <row r="152">
      <c r="A152" s="0" t="s">
        <v>408</v>
      </c>
      <c r="B152" s="0" t="s">
        <v>409</v>
      </c>
      <c r="C152" s="0" t="s">
        <v>410</v>
      </c>
      <c r="D152" s="0">
        <f dt2D="0" dtr="0">HYPERLINK("https://www.icra.in/Rating/RatingDetails?CompanyId=0&amp;CompanyName=Anu Constructions", "Rationale")</f>
        <v/>
      </c>
    </row>
    <row r="153">
      <c r="A153" s="0" t="s">
        <v>411</v>
      </c>
      <c r="B153" s="0" t="s">
        <v>412</v>
      </c>
      <c r="C153" s="0" t="s">
        <v>413</v>
      </c>
      <c r="D153" s="0">
        <f dt2D="0" dtr="0">HYPERLINK("https://www.icra.in/Rating/RatingDetails?CompanyId=0&amp;CompanyName=Apar Charitable Trust For Education And Research", "Rationale")</f>
        <v/>
      </c>
    </row>
    <row r="154">
      <c r="A154" s="0" t="s">
        <v>414</v>
      </c>
      <c r="B154" s="0" t="s">
        <v>415</v>
      </c>
      <c r="C154" s="0" t="s">
        <v>416</v>
      </c>
      <c r="D154" s="0">
        <f dt2D="0" dtr="0">HYPERLINK("https://www.icra.in/Rating/RatingDetails?CompanyId=0&amp;CompanyName=Apeejay Tea Limited", "Rationale")</f>
        <v/>
      </c>
    </row>
    <row r="155">
      <c r="A155" s="0" t="s">
        <v>417</v>
      </c>
      <c r="B155" s="0" t="s">
        <v>418</v>
      </c>
      <c r="C155" s="0" t="s">
        <v>71</v>
      </c>
      <c r="D155" s="0">
        <f dt2D="0" dtr="0">HYPERLINK("https://www.icra.in/Rating/RatingDetails?CompanyId=0&amp;CompanyName=Apex Constructions", "Rationale")</f>
        <v/>
      </c>
    </row>
    <row r="156">
      <c r="A156" s="0" t="s">
        <v>419</v>
      </c>
      <c r="B156" s="0" t="s">
        <v>420</v>
      </c>
      <c r="C156" s="0" t="s">
        <v>421</v>
      </c>
      <c r="D156" s="0">
        <f dt2D="0" dtr="0">HYPERLINK("https://www.icra.in/Rating/RatingDetails?CompanyId=0&amp;CompanyName=Apex Premises Private Limited", "Rationale")</f>
        <v/>
      </c>
    </row>
    <row r="157">
      <c r="A157" s="0" t="s">
        <v>422</v>
      </c>
      <c r="B157" s="0" t="s">
        <v>423</v>
      </c>
      <c r="C157" s="0" t="s">
        <v>424</v>
      </c>
      <c r="D157" s="0">
        <f dt2D="0" dtr="0">HYPERLINK("https://www.icra.in/Rating/RatingDetails?CompanyId=0&amp;CompanyName=Api Associates Private Limited", "Rationale")</f>
        <v/>
      </c>
    </row>
    <row r="158">
      <c r="A158" s="0" t="s">
        <v>425</v>
      </c>
      <c r="B158" s="0" t="s">
        <v>426</v>
      </c>
      <c r="C158" s="0" t="s">
        <v>427</v>
      </c>
      <c r="D158" s="0">
        <f dt2D="0" dtr="0">HYPERLINK("https://www.icra.in/Rating/RatingDetails?CompanyId=0&amp;CompanyName=Aplab Limited", "Rationale")</f>
        <v/>
      </c>
    </row>
    <row r="159">
      <c r="A159" s="0" t="s">
        <v>428</v>
      </c>
      <c r="B159" s="0" t="s">
        <v>429</v>
      </c>
      <c r="C159" s="0" t="s">
        <v>430</v>
      </c>
      <c r="D159" s="0">
        <f dt2D="0" dtr="0">HYPERLINK("https://www.icra.in/Rating/RatingDetails?CompanyId=0&amp;CompanyName=Apm Infrastructure Private Limited", "Rationale")</f>
        <v/>
      </c>
    </row>
    <row r="160">
      <c r="A160" s="0" t="s">
        <v>431</v>
      </c>
      <c r="B160" s="0" t="s">
        <v>432</v>
      </c>
      <c r="C160" s="0" t="s">
        <v>433</v>
      </c>
      <c r="D160" s="0">
        <f dt2D="0" dtr="0">HYPERLINK("https://www.icra.in/Rating/RatingDetails?CompanyId=0&amp;CompanyName=Appollo Distilleries Private Limited", "Rationale")</f>
        <v/>
      </c>
    </row>
    <row r="161">
      <c r="A161" s="0" t="s">
        <v>434</v>
      </c>
      <c r="B161" s="0" t="s">
        <v>435</v>
      </c>
      <c r="C161" s="0" t="s">
        <v>436</v>
      </c>
      <c r="D161" s="0">
        <f dt2D="0" dtr="0">HYPERLINK("https://www.icra.in/Rating/RatingDetails?CompanyId=0&amp;CompanyName=Apr Constructions Limited", "Rationale")</f>
        <v/>
      </c>
    </row>
    <row r="162">
      <c r="A162" s="0" t="s">
        <v>437</v>
      </c>
      <c r="B162" s="0" t="s">
        <v>438</v>
      </c>
      <c r="C162" s="0" t="s">
        <v>439</v>
      </c>
      <c r="D162" s="0">
        <f dt2D="0" dtr="0">HYPERLINK("https://www.icra.in/Rating/RatingDetails?CompanyId=0&amp;CompanyName=Apurvakriti Infrastructure Private Limited", "Rationale")</f>
        <v/>
      </c>
    </row>
    <row r="163">
      <c r="A163" s="0" t="s">
        <v>440</v>
      </c>
      <c r="B163" s="0" t="s">
        <v>441</v>
      </c>
      <c r="C163" s="0" t="s">
        <v>18</v>
      </c>
      <c r="D163" s="0">
        <f dt2D="0" dtr="0">HYPERLINK("https://www.icra.in/Rating/RatingDetails?CompanyId=0&amp;CompanyName=Aqua Developers", "Rationale")</f>
        <v/>
      </c>
    </row>
    <row r="164">
      <c r="A164" s="0" t="s">
        <v>442</v>
      </c>
      <c r="B164" s="0" t="s">
        <v>443</v>
      </c>
      <c r="C164" s="0" t="s">
        <v>84</v>
      </c>
      <c r="D164" s="0">
        <f dt2D="0" dtr="0">HYPERLINK("https://www.icra.in/Rating/RatingDetails?CompanyId=0&amp;CompanyName=Aquatech Systems Asia Private Limited", "Rationale")</f>
        <v/>
      </c>
    </row>
    <row r="165">
      <c r="A165" s="0" t="s">
        <v>444</v>
      </c>
      <c r="B165" s="0" t="s">
        <v>445</v>
      </c>
      <c r="C165" s="0" t="s">
        <v>446</v>
      </c>
      <c r="D165" s="0">
        <f dt2D="0" dtr="0">HYPERLINK("https://www.icra.in/Rating/RatingDetails?CompanyId=0&amp;CompanyName=Arambhan Hospitality Services Limited (Erstwhile Cawasji Behramji Catering Services Limited)", "Rationale")</f>
        <v/>
      </c>
    </row>
    <row r="166">
      <c r="A166" s="0" t="s">
        <v>447</v>
      </c>
      <c r="B166" s="0" t="s">
        <v>448</v>
      </c>
      <c r="C166" s="0" t="s">
        <v>346</v>
      </c>
      <c r="D166" s="0">
        <f dt2D="0" dtr="0">HYPERLINK("https://www.icra.in/Rating/RatingDetails?CompanyId=0&amp;CompanyName=Ardom Towergen Private Limited", "Rationale")</f>
        <v/>
      </c>
    </row>
    <row r="167">
      <c r="A167" s="0" t="s">
        <v>449</v>
      </c>
      <c r="B167" s="0" t="s">
        <v>450</v>
      </c>
      <c r="C167" s="0" t="s">
        <v>451</v>
      </c>
      <c r="D167" s="0">
        <f dt2D="0" dtr="0">HYPERLINK("https://www.icra.in/Rating/RatingDetails?CompanyId=0&amp;CompanyName=Arene Life Sciences Limited", "Rationale")</f>
        <v/>
      </c>
    </row>
    <row r="168">
      <c r="A168" s="0" t="s">
        <v>452</v>
      </c>
      <c r="B168" s="0" t="s">
        <v>453</v>
      </c>
      <c r="C168" s="0" t="s">
        <v>454</v>
      </c>
      <c r="D168" s="0">
        <f dt2D="0" dtr="0">HYPERLINK("https://www.icra.in/Rating/RatingDetails?CompanyId=0&amp;CompanyName=ARG Outlier Media Private Limited", "Rationale")</f>
        <v/>
      </c>
    </row>
    <row r="169">
      <c r="A169" s="0" t="s">
        <v>455</v>
      </c>
      <c r="B169" s="0" t="s">
        <v>456</v>
      </c>
      <c r="C169" s="0" t="s">
        <v>457</v>
      </c>
      <c r="D169" s="0">
        <f dt2D="0" dtr="0">HYPERLINK("https://www.icra.in/Rating/RatingDetails?CompanyId=0&amp;CompanyName=Arhyama Solar Power Private Limited", "Rationale")</f>
        <v/>
      </c>
    </row>
    <row r="170">
      <c r="A170" s="0" t="s">
        <v>458</v>
      </c>
      <c r="B170" s="0" t="s">
        <v>459</v>
      </c>
      <c r="C170" s="0" t="s">
        <v>460</v>
      </c>
      <c r="D170" s="0">
        <f dt2D="0" dtr="0">HYPERLINK("https://www.icra.in/Rating/RatingDetails?CompanyId=0&amp;CompanyName=Arihant Dream Infra Projects Limited", "Rationale")</f>
        <v/>
      </c>
    </row>
    <row r="171">
      <c r="A171" s="0" t="s">
        <v>461</v>
      </c>
      <c r="B171" s="0" t="s">
        <v>462</v>
      </c>
      <c r="C171" s="0" t="s">
        <v>50</v>
      </c>
      <c r="D171" s="0">
        <f dt2D="0" dtr="0">HYPERLINK("https://www.icra.in/Rating/RatingDetails?CompanyId=0&amp;CompanyName=Arihant Solvex Private Limited", "Rationale")</f>
        <v/>
      </c>
    </row>
    <row r="172">
      <c r="A172" s="0" t="s">
        <v>463</v>
      </c>
      <c r="B172" s="0" t="s">
        <v>464</v>
      </c>
      <c r="C172" s="0" t="s">
        <v>71</v>
      </c>
      <c r="D172" s="0">
        <f dt2D="0" dtr="0">HYPERLINK("https://www.icra.in/Rating/RatingDetails?CompanyId=0&amp;CompanyName=Aristo Industries", "Rationale")</f>
        <v/>
      </c>
    </row>
    <row r="173">
      <c r="A173" s="0" t="s">
        <v>465</v>
      </c>
      <c r="B173" s="0" t="s">
        <v>466</v>
      </c>
      <c r="C173" s="0" t="s">
        <v>467</v>
      </c>
      <c r="D173" s="0">
        <f dt2D="0" dtr="0">HYPERLINK("https://www.icra.in/Rating/RatingDetails?CompanyId=0&amp;CompanyName=Arkas Energy LLP", "Rationale")</f>
        <v/>
      </c>
    </row>
    <row r="174">
      <c r="A174" s="0" t="s">
        <v>468</v>
      </c>
      <c r="B174" s="0" t="s">
        <v>469</v>
      </c>
      <c r="C174" s="0" t="s">
        <v>470</v>
      </c>
      <c r="D174" s="0">
        <f dt2D="0" dtr="0">HYPERLINK("https://www.icra.in/Rating/RatingDetails?CompanyId=0&amp;CompanyName=Arkiton Tiles LLP", "Rationale")</f>
        <v/>
      </c>
    </row>
    <row r="175">
      <c r="A175" s="0" t="s">
        <v>471</v>
      </c>
      <c r="B175" s="0" t="s">
        <v>472</v>
      </c>
      <c r="C175" s="0" t="s">
        <v>53</v>
      </c>
      <c r="D175" s="0">
        <f dt2D="0" dtr="0">HYPERLINK("https://www.icra.in/Rating/RatingDetails?CompanyId=0&amp;CompanyName=Armaan Industries Pvt. Ltd.", "Rationale")</f>
        <v/>
      </c>
    </row>
    <row r="176">
      <c r="A176" s="0" t="s">
        <v>473</v>
      </c>
      <c r="B176" s="0" t="s">
        <v>474</v>
      </c>
      <c r="C176" s="0" t="s">
        <v>220</v>
      </c>
      <c r="D176" s="0">
        <f dt2D="0" dtr="0">HYPERLINK("https://www.icra.in/Rating/RatingDetails?CompanyId=0&amp;CompanyName=Arnav Technosoft Private Limited", "Rationale")</f>
        <v/>
      </c>
    </row>
    <row r="177">
      <c r="A177" s="0" t="s">
        <v>475</v>
      </c>
      <c r="B177" s="0" t="s">
        <v>476</v>
      </c>
      <c r="C177" s="0" t="s">
        <v>477</v>
      </c>
      <c r="D177" s="0">
        <f dt2D="0" dtr="0">HYPERLINK("https://www.icra.in/Rating/RatingDetails?CompanyId=0&amp;CompanyName=Arpeggio Industries Pvt. Ltd", "Rationale")</f>
        <v/>
      </c>
    </row>
    <row r="178">
      <c r="A178" s="0" t="s">
        <v>478</v>
      </c>
      <c r="B178" s="0" t="s">
        <v>479</v>
      </c>
      <c r="C178" s="0" t="s">
        <v>480</v>
      </c>
      <c r="D178" s="0">
        <f dt2D="0" dtr="0">HYPERLINK("https://www.icra.in/Rating/RatingDetails?CompanyId=0&amp;CompanyName=Arqube Industries (India) Limited", "Rationale")</f>
        <v/>
      </c>
    </row>
    <row r="179">
      <c r="A179" s="0" t="s">
        <v>481</v>
      </c>
      <c r="B179" s="0" t="s">
        <v>482</v>
      </c>
      <c r="C179" s="0" t="s">
        <v>483</v>
      </c>
      <c r="D179" s="0">
        <f dt2D="0" dtr="0">HYPERLINK("https://www.icra.in/Rating/RatingDetails?CompanyId=0&amp;CompanyName=Arshit Gems", "Rationale")</f>
        <v/>
      </c>
    </row>
    <row r="180">
      <c r="A180" s="0" t="s">
        <v>484</v>
      </c>
      <c r="B180" s="0" t="s">
        <v>485</v>
      </c>
      <c r="C180" s="0" t="s">
        <v>486</v>
      </c>
      <c r="D180" s="0">
        <f dt2D="0" dtr="0">HYPERLINK("https://www.icra.in/Rating/RatingDetails?CompanyId=0&amp;CompanyName=Arunachal Tea &amp; Industries Pvt. Ltd.", "Rationale")</f>
        <v/>
      </c>
    </row>
    <row r="181">
      <c r="A181" s="0" t="s">
        <v>487</v>
      </c>
      <c r="B181" s="0" t="s">
        <v>488</v>
      </c>
      <c r="C181" s="0" t="s">
        <v>489</v>
      </c>
      <c r="D181" s="0">
        <f dt2D="0" dtr="0">HYPERLINK("https://www.icra.in/Rating/RatingDetails?CompanyId=0&amp;CompanyName=Arunesh Saw Mills", "Rationale")</f>
        <v/>
      </c>
    </row>
    <row r="182">
      <c r="A182" s="0" t="s">
        <v>490</v>
      </c>
      <c r="B182" s="0" t="s">
        <v>491</v>
      </c>
      <c r="C182" s="0" t="s">
        <v>492</v>
      </c>
      <c r="D182" s="0">
        <f dt2D="0" dtr="0">HYPERLINK("https://www.icra.in/Rating/RatingDetails?CompanyId=0&amp;CompanyName=Aruppukottai Shri Ramalinga Spinners Private Limited", "Rationale")</f>
        <v/>
      </c>
    </row>
    <row r="183">
      <c r="A183" s="0" t="s">
        <v>493</v>
      </c>
      <c r="B183" s="0" t="s">
        <v>494</v>
      </c>
      <c r="C183" s="0" t="s">
        <v>375</v>
      </c>
      <c r="D183" s="0">
        <f dt2D="0" dtr="0">HYPERLINK("https://www.icra.in/Rating/RatingDetails?CompanyId=0&amp;CompanyName=Arvind And Rajan Constructions", "Rationale")</f>
        <v/>
      </c>
    </row>
    <row r="184">
      <c r="A184" s="0" t="s">
        <v>495</v>
      </c>
      <c r="B184" s="0" t="s">
        <v>496</v>
      </c>
      <c r="C184" s="0" t="s">
        <v>497</v>
      </c>
      <c r="D184" s="0">
        <f dt2D="0" dtr="0">HYPERLINK("https://www.icra.in/Rating/RatingDetails?CompanyId=0&amp;CompanyName=Arvind Pipes &amp; Fittings Industries Private Limited", "Rationale")</f>
        <v/>
      </c>
    </row>
    <row r="185">
      <c r="A185" s="0" t="s">
        <v>498</v>
      </c>
      <c r="B185" s="0" t="s">
        <v>499</v>
      </c>
      <c r="C185" s="0" t="s">
        <v>500</v>
      </c>
      <c r="D185" s="0">
        <f dt2D="0" dtr="0">HYPERLINK("https://www.icra.in/Rating/RatingDetails?CompanyId=0&amp;CompanyName=Aryan Construction &amp; Associates", "Rationale")</f>
        <v/>
      </c>
    </row>
    <row r="186">
      <c r="A186" s="0" t="s">
        <v>501</v>
      </c>
      <c r="B186" s="0" t="s">
        <v>502</v>
      </c>
      <c r="C186" s="0" t="s">
        <v>503</v>
      </c>
      <c r="D186" s="0">
        <f dt2D="0" dtr="0">HYPERLINK("https://www.icra.in/Rating/RatingDetails?CompanyId=0&amp;CompanyName=Asa Bhanu Technical Services Limited", "Rationale")</f>
        <v/>
      </c>
    </row>
    <row r="187">
      <c r="A187" s="0" t="s">
        <v>504</v>
      </c>
      <c r="B187" s="0" t="s">
        <v>505</v>
      </c>
      <c r="C187" s="0" t="s">
        <v>290</v>
      </c>
      <c r="D187" s="0">
        <f dt2D="0" dtr="0">HYPERLINK("https://www.icra.in/Rating/RatingDetails?CompanyId=0&amp;CompanyName=ASB Projects Limited", "Rationale")</f>
        <v/>
      </c>
    </row>
    <row r="188">
      <c r="A188" s="0" t="s">
        <v>506</v>
      </c>
      <c r="B188" s="0" t="s">
        <v>507</v>
      </c>
      <c r="C188" s="0" t="s">
        <v>508</v>
      </c>
      <c r="D188" s="0">
        <f dt2D="0" dtr="0">HYPERLINK("https://www.icra.in/Rating/RatingDetails?CompanyId=0&amp;CompanyName=Ascend Green Homes", "Rationale")</f>
        <v/>
      </c>
    </row>
    <row r="189">
      <c r="A189" s="0" t="s">
        <v>509</v>
      </c>
      <c r="B189" s="0" t="s">
        <v>510</v>
      </c>
      <c r="C189" s="0" t="s">
        <v>511</v>
      </c>
      <c r="D189" s="0">
        <f dt2D="0" dtr="0">HYPERLINK("https://www.icra.in/Rating/RatingDetails?CompanyId=0&amp;CompanyName=Ascott Electricals Private Limited", "Rationale")</f>
        <v/>
      </c>
    </row>
    <row r="190">
      <c r="A190" s="0" t="s">
        <v>512</v>
      </c>
      <c r="B190" s="0" t="s">
        <v>513</v>
      </c>
      <c r="C190" s="0" t="s">
        <v>514</v>
      </c>
      <c r="D190" s="0">
        <f dt2D="0" dtr="0">HYPERLINK("https://www.icra.in/Rating/RatingDetails?CompanyId=0&amp;CompanyName=Aseem Exports", "Rationale")</f>
        <v/>
      </c>
    </row>
    <row r="191">
      <c r="A191" s="0" t="s">
        <v>515</v>
      </c>
      <c r="B191" s="0" t="s">
        <v>516</v>
      </c>
      <c r="C191" s="0" t="s">
        <v>517</v>
      </c>
      <c r="D191" s="0">
        <f dt2D="0" dtr="0">HYPERLINK("https://www.icra.in/Rating/RatingDetails?CompanyId=0&amp;CompanyName=Ashiana Dwellings Private Limited", "Rationale")</f>
        <v/>
      </c>
    </row>
    <row r="192">
      <c r="A192" s="0" t="s">
        <v>518</v>
      </c>
      <c r="B192" s="0" t="s">
        <v>519</v>
      </c>
      <c r="C192" s="0" t="s">
        <v>71</v>
      </c>
      <c r="D192" s="0">
        <f dt2D="0" dtr="0">HYPERLINK("https://www.icra.in/Rating/RatingDetails?CompanyId=0&amp;CompanyName=Ashirvad Industries &amp; Infrastructure", "Rationale")</f>
        <v/>
      </c>
    </row>
    <row r="193">
      <c r="A193" s="0" t="s">
        <v>520</v>
      </c>
      <c r="B193" s="0" t="s">
        <v>521</v>
      </c>
      <c r="C193" s="0" t="s">
        <v>522</v>
      </c>
      <c r="D193" s="0">
        <f dt2D="0" dtr="0">HYPERLINK("https://www.icra.in/Rating/RatingDetails?CompanyId=0&amp;CompanyName=Ashish Builders and Developers", "Rationale")</f>
        <v/>
      </c>
    </row>
    <row r="194">
      <c r="A194" s="0" t="s">
        <v>523</v>
      </c>
      <c r="B194" s="0" t="s">
        <v>524</v>
      </c>
      <c r="C194" s="0" t="s">
        <v>525</v>
      </c>
      <c r="D194" s="0">
        <f dt2D="0" dtr="0">HYPERLINK("https://www.icra.in/Rating/RatingDetails?CompanyId=0&amp;CompanyName=Ashish Construction Co.", "Rationale")</f>
        <v/>
      </c>
    </row>
    <row r="195">
      <c r="A195" s="0" t="s">
        <v>526</v>
      </c>
      <c r="B195" s="0" t="s">
        <v>527</v>
      </c>
      <c r="C195" s="0" t="s">
        <v>528</v>
      </c>
      <c r="D195" s="0">
        <f dt2D="0" dtr="0">HYPERLINK("https://www.icra.in/Rating/RatingDetails?CompanyId=0&amp;CompanyName=Ashok Bricks Industries Private Limited", "Rationale")</f>
        <v/>
      </c>
    </row>
    <row r="196">
      <c r="A196" s="0" t="s">
        <v>529</v>
      </c>
      <c r="B196" s="0" t="s">
        <v>530</v>
      </c>
      <c r="C196" s="0" t="s">
        <v>531</v>
      </c>
      <c r="D196" s="0">
        <f dt2D="0" dtr="0">HYPERLINK("https://www.icra.in/Rating/RatingDetails?CompanyId=0&amp;CompanyName=Ashok Handlooms Factory Private Limited", "Rationale")</f>
        <v/>
      </c>
    </row>
    <row r="197">
      <c r="A197" s="0" t="s">
        <v>532</v>
      </c>
      <c r="B197" s="0" t="s">
        <v>533</v>
      </c>
      <c r="C197" s="0" t="s">
        <v>534</v>
      </c>
      <c r="D197" s="0">
        <f dt2D="0" dtr="0">HYPERLINK("https://www.icra.in/Rating/RatingDetails?CompanyId=0&amp;CompanyName=Ashoka Distillers &amp; Chemicals Private Limited", "Rationale")</f>
        <v/>
      </c>
    </row>
    <row r="198">
      <c r="A198" s="0" t="s">
        <v>535</v>
      </c>
      <c r="B198" s="0" t="s">
        <v>536</v>
      </c>
      <c r="C198" s="0" t="s">
        <v>65</v>
      </c>
      <c r="D198" s="0">
        <f dt2D="0" dtr="0">HYPERLINK("https://www.icra.in/Rating/RatingDetails?CompanyId=0&amp;CompanyName=Ashritha Health Care Pvt Ltd", "Rationale")</f>
        <v/>
      </c>
    </row>
    <row r="199">
      <c r="A199" s="0" t="s">
        <v>537</v>
      </c>
      <c r="B199" s="0" t="s">
        <v>538</v>
      </c>
      <c r="C199" s="0" t="s">
        <v>539</v>
      </c>
      <c r="D199" s="0">
        <f dt2D="0" dtr="0">HYPERLINK("https://www.icra.in/Rating/RatingDetails?CompanyId=0&amp;CompanyName=Ashutosh Container Services Private Limited", "Rationale")</f>
        <v/>
      </c>
    </row>
    <row r="200">
      <c r="A200" s="0" t="s">
        <v>540</v>
      </c>
      <c r="B200" s="0" t="s">
        <v>541</v>
      </c>
      <c r="C200" s="0" t="s">
        <v>405</v>
      </c>
      <c r="D200" s="0">
        <f dt2D="0" dtr="0">HYPERLINK("https://www.icra.in/Rating/RatingDetails?CompanyId=0&amp;CompanyName=Ashwinram Spinning Mills Private Limited", "Rationale")</f>
        <v/>
      </c>
    </row>
    <row r="201">
      <c r="A201" s="0" t="s">
        <v>542</v>
      </c>
      <c r="B201" s="0" t="s">
        <v>543</v>
      </c>
      <c r="C201" s="0" t="s">
        <v>544</v>
      </c>
      <c r="D201" s="0">
        <f dt2D="0" dtr="0">HYPERLINK("https://www.icra.in/Rating/RatingDetails?CompanyId=0&amp;CompanyName=Asian Construction Company", "Rationale")</f>
        <v/>
      </c>
    </row>
    <row r="202">
      <c r="A202" s="0" t="s">
        <v>545</v>
      </c>
      <c r="B202" s="0" t="s">
        <v>546</v>
      </c>
      <c r="C202" s="0" t="s">
        <v>547</v>
      </c>
      <c r="D202" s="0">
        <f dt2D="0" dtr="0">HYPERLINK("https://www.icra.in/Rating/RatingDetails?CompanyId=0&amp;CompanyName=Asian Food Industries", "Rationale")</f>
        <v/>
      </c>
    </row>
    <row r="203">
      <c r="A203" s="0" t="s">
        <v>548</v>
      </c>
      <c r="B203" s="0" t="s">
        <v>549</v>
      </c>
      <c r="C203" s="0" t="s">
        <v>311</v>
      </c>
      <c r="D203" s="0">
        <f dt2D="0" dtr="0">HYPERLINK("https://www.icra.in/Rating/RatingDetails?CompanyId=0&amp;CompanyName=Asian Granito India Limited", "Rationale")</f>
        <v/>
      </c>
    </row>
    <row r="204">
      <c r="A204" s="0" t="s">
        <v>550</v>
      </c>
      <c r="B204" s="0" t="s">
        <v>551</v>
      </c>
      <c r="C204" s="0" t="s">
        <v>552</v>
      </c>
      <c r="D204" s="0">
        <f dt2D="0" dtr="0">HYPERLINK("https://www.icra.in/Rating/RatingDetails?CompanyId=0&amp;CompanyName=Asian Handicrafts Private Limited", "Rationale")</f>
        <v/>
      </c>
    </row>
    <row r="205">
      <c r="A205" s="0" t="s">
        <v>553</v>
      </c>
      <c r="B205" s="0" t="s">
        <v>554</v>
      </c>
      <c r="C205" s="0" t="s">
        <v>555</v>
      </c>
      <c r="D205" s="0">
        <f dt2D="0" dtr="0">HYPERLINK("https://www.icra.in/Rating/RatingDetails?CompanyId=0&amp;CompanyName=ASN Agri Genetic Private Limited", "Rationale")</f>
        <v/>
      </c>
    </row>
    <row r="206">
      <c r="A206" s="0" t="s">
        <v>556</v>
      </c>
      <c r="B206" s="0" t="s">
        <v>557</v>
      </c>
      <c r="C206" s="0" t="s">
        <v>558</v>
      </c>
      <c r="D206" s="0">
        <f dt2D="0" dtr="0">HYPERLINK("https://www.icra.in/Rating/RatingDetails?CompanyId=0&amp;CompanyName=Asopalav Developers", "Rationale")</f>
        <v/>
      </c>
    </row>
    <row r="207">
      <c r="A207" s="0" t="s">
        <v>559</v>
      </c>
      <c r="B207" s="0" t="s">
        <v>560</v>
      </c>
      <c r="C207" s="0" t="s">
        <v>561</v>
      </c>
      <c r="D207" s="0">
        <f dt2D="0" dtr="0">HYPERLINK("https://www.icra.in/Rating/RatingDetails?CompanyId=0&amp;CompanyName=Assam Petro-Chemicals Limited", "Rationale")</f>
        <v/>
      </c>
    </row>
    <row r="208">
      <c r="A208" s="0" t="s">
        <v>562</v>
      </c>
      <c r="B208" s="0" t="s">
        <v>563</v>
      </c>
      <c r="C208" s="0" t="s">
        <v>564</v>
      </c>
      <c r="D208" s="0">
        <f dt2D="0" dtr="0">HYPERLINK("https://www.icra.in/Rating/RatingDetails?CompanyId=0&amp;CompanyName=Assam Timber Products Private Limited", "Rationale")</f>
        <v/>
      </c>
    </row>
    <row r="209">
      <c r="A209" s="0" t="s">
        <v>565</v>
      </c>
      <c r="B209" s="0" t="s">
        <v>566</v>
      </c>
      <c r="C209" s="0" t="s">
        <v>567</v>
      </c>
      <c r="D209" s="0">
        <f dt2D="0" dtr="0">HYPERLINK("https://www.icra.in/Rating/RatingDetails?CompanyId=0&amp;CompanyName=Associated Works Infra Pvt. Ltd.", "Rationale")</f>
        <v/>
      </c>
    </row>
    <row r="210">
      <c r="A210" s="0" t="s">
        <v>568</v>
      </c>
      <c r="B210" s="0" t="s">
        <v>569</v>
      </c>
      <c r="C210" s="0" t="s">
        <v>570</v>
      </c>
      <c r="D210" s="0">
        <f dt2D="0" dtr="0">HYPERLINK("https://www.icra.in/Rating/RatingDetails?CompanyId=0&amp;CompanyName=Assorted Plastics Private Limited", "Rationale")</f>
        <v/>
      </c>
    </row>
    <row r="211">
      <c r="A211" s="0" t="s">
        <v>571</v>
      </c>
      <c r="B211" s="0" t="s">
        <v>572</v>
      </c>
      <c r="C211" s="0" t="s">
        <v>573</v>
      </c>
      <c r="D211" s="0">
        <f dt2D="0" dtr="0">HYPERLINK("https://www.icra.in/Rating/RatingDetails?CompanyId=0&amp;CompanyName=ATC Foods Private Limited", "Rationale")</f>
        <v/>
      </c>
    </row>
    <row r="212">
      <c r="A212" s="0" t="s">
        <v>574</v>
      </c>
      <c r="B212" s="0" t="s">
        <v>575</v>
      </c>
      <c r="C212" s="0" t="s">
        <v>71</v>
      </c>
      <c r="D212" s="0">
        <f dt2D="0" dtr="0">HYPERLINK("https://www.icra.in/Rating/RatingDetails?CompanyId=0&amp;CompanyName=ATC Logistics Private Limited", "Rationale")</f>
        <v/>
      </c>
    </row>
    <row r="213">
      <c r="A213" s="0" t="s">
        <v>576</v>
      </c>
      <c r="B213" s="0" t="s">
        <v>577</v>
      </c>
      <c r="C213" s="0" t="s">
        <v>578</v>
      </c>
      <c r="D213" s="0">
        <f dt2D="0" dtr="0">HYPERLINK("https://www.icra.in/Rating/RatingDetails?CompanyId=0&amp;CompanyName=Atlas Cycles (Haryana) Limited", "Rationale")</f>
        <v/>
      </c>
    </row>
    <row r="214">
      <c r="A214" s="0" t="s">
        <v>579</v>
      </c>
      <c r="B214" s="0" t="s">
        <v>580</v>
      </c>
      <c r="C214" s="0" t="s">
        <v>265</v>
      </c>
      <c r="D214" s="0">
        <f dt2D="0" dtr="0">HYPERLINK("https://www.icra.in/Rating/RatingDetails?CompanyId=0&amp;CompanyName=Atul Automotives", "Rationale")</f>
        <v/>
      </c>
    </row>
    <row r="215">
      <c r="A215" s="0" t="s">
        <v>581</v>
      </c>
      <c r="B215" s="0" t="s">
        <v>582</v>
      </c>
      <c r="C215" s="0" t="s">
        <v>583</v>
      </c>
      <c r="D215" s="0">
        <f dt2D="0" dtr="0">HYPERLINK("https://www.icra.in/Rating/RatingDetails?CompanyId=0&amp;CompanyName=Atul Motors Private Limited", "Rationale")</f>
        <v/>
      </c>
    </row>
    <row r="216">
      <c r="A216" s="0" t="s">
        <v>584</v>
      </c>
      <c r="B216" s="0" t="s">
        <v>585</v>
      </c>
      <c r="C216" s="0" t="s">
        <v>460</v>
      </c>
      <c r="D216" s="0">
        <f dt2D="0" dtr="0">HYPERLINK("https://www.icra.in/Rating/RatingDetails?CompanyId=0&amp;CompanyName=Aukland Ceramic Private Limited", "Rationale")</f>
        <v/>
      </c>
    </row>
    <row r="217">
      <c r="A217" s="0" t="s">
        <v>586</v>
      </c>
      <c r="B217" s="0" t="s">
        <v>587</v>
      </c>
      <c r="C217" s="0" t="s">
        <v>588</v>
      </c>
      <c r="D217" s="0">
        <f dt2D="0" dtr="0">HYPERLINK("https://www.icra.in/Rating/RatingDetails?CompanyId=0&amp;CompanyName=Aurangabad Municipal Corporation", "Rationale")</f>
        <v/>
      </c>
    </row>
    <row r="218">
      <c r="A218" s="0" t="s">
        <v>589</v>
      </c>
      <c r="B218" s="0" t="s">
        <v>590</v>
      </c>
      <c r="C218" s="0" t="s">
        <v>106</v>
      </c>
      <c r="D218" s="0">
        <f dt2D="0" dtr="0">HYPERLINK("https://www.icra.in/Rating/RatingDetails?CompanyId=0&amp;CompanyName=Auraya Healthcare", "Rationale")</f>
        <v/>
      </c>
    </row>
    <row r="219">
      <c r="A219" s="0" t="s">
        <v>591</v>
      </c>
      <c r="B219" s="0" t="s">
        <v>592</v>
      </c>
      <c r="C219" s="0" t="s">
        <v>71</v>
      </c>
      <c r="D219" s="0">
        <f dt2D="0" dtr="0">HYPERLINK("https://www.icra.in/Rating/RatingDetails?CompanyId=0&amp;CompanyName=Auro Impex &amp; Chemicals Pvt Ltd", "Rationale")</f>
        <v/>
      </c>
    </row>
    <row r="220">
      <c r="A220" s="0" t="s">
        <v>593</v>
      </c>
      <c r="B220" s="0" t="s">
        <v>594</v>
      </c>
      <c r="C220" s="0" t="s">
        <v>71</v>
      </c>
      <c r="D220" s="0">
        <f dt2D="0" dtr="0">HYPERLINK("https://www.icra.in/Rating/RatingDetails?CompanyId=0&amp;CompanyName=Auro Industries Limited", "Rationale")</f>
        <v/>
      </c>
    </row>
    <row r="221">
      <c r="A221" s="0" t="s">
        <v>595</v>
      </c>
      <c r="B221" s="0" t="s">
        <v>596</v>
      </c>
      <c r="C221" s="0" t="s">
        <v>597</v>
      </c>
      <c r="D221" s="0">
        <f dt2D="0" dtr="0">HYPERLINK("https://www.icra.in/Rating/RatingDetails?CompanyId=0&amp;CompanyName=Aurora Apparel Private Limited", "Rationale")</f>
        <v/>
      </c>
    </row>
    <row r="222">
      <c r="A222" s="0" t="s">
        <v>598</v>
      </c>
      <c r="B222" s="0" t="s">
        <v>599</v>
      </c>
      <c r="C222" s="0" t="s">
        <v>600</v>
      </c>
      <c r="D222" s="0">
        <f dt2D="0" dtr="0">HYPERLINK("https://www.icra.in/Rating/RatingDetails?CompanyId=0&amp;CompanyName=AUTHUM INVESTMENT &amp; INFRASTRUCTURE LIMITED", "Rationale")</f>
        <v/>
      </c>
    </row>
    <row r="223">
      <c r="A223" s="0" t="s">
        <v>601</v>
      </c>
      <c r="B223" s="0" t="s">
        <v>602</v>
      </c>
      <c r="C223" s="0" t="s">
        <v>92</v>
      </c>
      <c r="D223" s="0">
        <f dt2D="0" dtr="0">HYPERLINK("https://www.icra.in/Rating/RatingDetails?CompanyId=0&amp;CompanyName=Auto Hi-tech Private Limited", "Rationale")</f>
        <v/>
      </c>
    </row>
    <row r="224">
      <c r="A224" s="0" t="s">
        <v>603</v>
      </c>
      <c r="B224" s="0" t="s">
        <v>604</v>
      </c>
      <c r="C224" s="0" t="s">
        <v>605</v>
      </c>
      <c r="D224" s="0">
        <f dt2D="0" dtr="0">HYPERLINK("https://www.icra.in/Rating/RatingDetails?CompanyId=0&amp;CompanyName=Autometers Alliance Limited", "Rationale")</f>
        <v/>
      </c>
    </row>
    <row r="225">
      <c r="A225" s="0" t="s">
        <v>606</v>
      </c>
      <c r="B225" s="0" t="s">
        <v>607</v>
      </c>
      <c r="C225" s="0" t="s">
        <v>608</v>
      </c>
      <c r="D225" s="0">
        <f dt2D="0" dtr="0">HYPERLINK("https://www.icra.in/Rating/RatingDetails?CompanyId=0&amp;CompanyName=Avadh Cotex Private Limited", "Rationale")</f>
        <v/>
      </c>
    </row>
    <row r="226">
      <c r="A226" s="0" t="s">
        <v>609</v>
      </c>
      <c r="B226" s="0" t="s">
        <v>610</v>
      </c>
      <c r="C226" s="0" t="s">
        <v>611</v>
      </c>
      <c r="D226" s="0">
        <f dt2D="0" dtr="0">HYPERLINK("https://www.icra.in/Rating/RatingDetails?CompanyId=0&amp;CompanyName=Avadh Cotton Industries - Jamnagar", "Rationale")</f>
        <v/>
      </c>
    </row>
    <row r="227">
      <c r="A227" s="0" t="s">
        <v>612</v>
      </c>
      <c r="B227" s="0" t="s">
        <v>613</v>
      </c>
      <c r="C227" s="0" t="s">
        <v>514</v>
      </c>
      <c r="D227" s="0">
        <f dt2D="0" dtr="0">HYPERLINK("https://www.icra.in/Rating/RatingDetails?CompanyId=0&amp;CompanyName=Avani Petrochem Private Limited", "Rationale")</f>
        <v/>
      </c>
    </row>
    <row r="228">
      <c r="A228" s="0" t="s">
        <v>614</v>
      </c>
      <c r="B228" s="0" t="s">
        <v>615</v>
      </c>
      <c r="C228" s="0" t="s">
        <v>508</v>
      </c>
      <c r="D228" s="0">
        <f dt2D="0" dtr="0">HYPERLINK("https://www.icra.in/Rating/RatingDetails?CompanyId=0&amp;CompanyName=Aveena Milk Products", "Rationale")</f>
        <v/>
      </c>
    </row>
    <row r="229">
      <c r="A229" s="0" t="s">
        <v>616</v>
      </c>
      <c r="B229" s="0" t="s">
        <v>617</v>
      </c>
      <c r="C229" s="0" t="s">
        <v>71</v>
      </c>
      <c r="D229" s="0">
        <f dt2D="0" dtr="0">HYPERLINK("https://www.icra.in/Rating/RatingDetails?CompanyId=0&amp;CompanyName=Avera Resource Private Limited", "Rationale")</f>
        <v/>
      </c>
    </row>
    <row r="230">
      <c r="A230" s="0" t="s">
        <v>618</v>
      </c>
      <c r="B230" s="0" t="s">
        <v>619</v>
      </c>
      <c r="C230" s="0" t="s">
        <v>620</v>
      </c>
      <c r="D230" s="0">
        <f dt2D="0" dtr="0">HYPERLINK("https://www.icra.in/Rating/RatingDetails?CompanyId=0&amp;CompanyName=Avia Ceramic Pvt. Ltd", "Rationale")</f>
        <v/>
      </c>
    </row>
    <row r="231">
      <c r="A231" s="0" t="s">
        <v>621</v>
      </c>
      <c r="B231" s="0" t="s">
        <v>622</v>
      </c>
      <c r="C231" s="0" t="s">
        <v>623</v>
      </c>
      <c r="D231" s="0">
        <f dt2D="0" dtr="0">HYPERLINK("https://www.icra.in/Rating/RatingDetails?CompanyId=0&amp;CompanyName=Avni Energy Solutions Private Limited", "Rationale")</f>
        <v/>
      </c>
    </row>
    <row r="232">
      <c r="A232" s="0" t="s">
        <v>624</v>
      </c>
      <c r="B232" s="0" t="s">
        <v>625</v>
      </c>
      <c r="C232" s="0" t="s">
        <v>281</v>
      </c>
      <c r="D232" s="0">
        <f dt2D="0" dtr="0">HYPERLINK("https://www.icra.in/Rating/RatingDetails?CompanyId=0&amp;CompanyName=Axis Garment Designer", "Rationale")</f>
        <v/>
      </c>
    </row>
    <row r="233">
      <c r="A233" s="0" t="s">
        <v>626</v>
      </c>
      <c r="B233" s="0" t="s">
        <v>627</v>
      </c>
      <c r="C233" s="0" t="s">
        <v>628</v>
      </c>
      <c r="D233" s="0">
        <f dt2D="0" dtr="0">HYPERLINK("https://www.icra.in/Rating/RatingDetails?CompanyId=0&amp;CompanyName=Axison Vitrified Pvt. Ltd.", "Rationale")</f>
        <v/>
      </c>
    </row>
    <row r="234">
      <c r="A234" s="0" t="s">
        <v>629</v>
      </c>
      <c r="B234" s="0" t="s">
        <v>630</v>
      </c>
      <c r="C234" s="0" t="s">
        <v>631</v>
      </c>
      <c r="D234" s="0">
        <f dt2D="0" dtr="0">HYPERLINK("https://www.icra.in/Rating/RatingDetails?CompanyId=0&amp;CompanyName=Axora Resources Limited", "Rationale")</f>
        <v/>
      </c>
    </row>
    <row r="235">
      <c r="A235" s="0" t="s">
        <v>632</v>
      </c>
      <c r="B235" s="0" t="s">
        <v>633</v>
      </c>
      <c r="C235" s="0" t="s">
        <v>634</v>
      </c>
      <c r="D235" s="0">
        <f dt2D="0" dtr="0">HYPERLINK("https://www.icra.in/Rating/RatingDetails?CompanyId=0&amp;CompanyName=Ayaan Trendz Private Limited", "Rationale")</f>
        <v/>
      </c>
    </row>
    <row r="236">
      <c r="A236" s="0" t="s">
        <v>635</v>
      </c>
      <c r="B236" s="0" t="s">
        <v>636</v>
      </c>
      <c r="C236" s="0" t="s">
        <v>637</v>
      </c>
      <c r="D236" s="0">
        <f dt2D="0" dtr="0">HYPERLINK("https://www.icra.in/Rating/RatingDetails?CompanyId=0&amp;CompanyName=Ayushman Merchants Private Limited", "Rationale")</f>
        <v/>
      </c>
    </row>
    <row r="237">
      <c r="A237" s="0" t="s">
        <v>638</v>
      </c>
      <c r="B237" s="0" t="s">
        <v>639</v>
      </c>
      <c r="C237" s="0" t="s">
        <v>640</v>
      </c>
      <c r="D237" s="0">
        <f dt2D="0" dtr="0">HYPERLINK("https://www.icra.in/Rating/RatingDetails?CompanyId=0&amp;CompanyName=Ayyan Fireworks Factory Private Limited", "Rationale")</f>
        <v/>
      </c>
    </row>
    <row r="238">
      <c r="A238" s="0" t="s">
        <v>641</v>
      </c>
      <c r="B238" s="0" t="s">
        <v>642</v>
      </c>
      <c r="C238" s="0" t="s">
        <v>643</v>
      </c>
      <c r="D238" s="0">
        <f dt2D="0" dtr="0">HYPERLINK("https://www.icra.in/Rating/RatingDetails?CompanyId=0&amp;CompanyName=Azad Impex Private Limited", "Rationale")</f>
        <v/>
      </c>
    </row>
    <row r="239">
      <c r="A239" s="0" t="s">
        <v>644</v>
      </c>
      <c r="B239" s="0" t="s">
        <v>645</v>
      </c>
      <c r="C239" s="0" t="s">
        <v>646</v>
      </c>
      <c r="D239" s="0">
        <f dt2D="0" dtr="0">HYPERLINK("https://www.icra.in/Rating/RatingDetails?CompanyId=0&amp;CompanyName=Azam Rubber Products Private Limited", "Rationale")</f>
        <v/>
      </c>
    </row>
    <row r="240">
      <c r="A240" s="0" t="s">
        <v>647</v>
      </c>
      <c r="B240" s="0" t="s">
        <v>648</v>
      </c>
      <c r="C240" s="0" t="s">
        <v>649</v>
      </c>
      <c r="D240" s="0">
        <f dt2D="0" dtr="0">HYPERLINK("https://www.icra.in/Rating/RatingDetails?CompanyId=0&amp;CompanyName=Azine Healthcare Pvt. Ltd.", "Rationale")</f>
        <v/>
      </c>
    </row>
    <row r="241">
      <c r="A241" s="0" t="s">
        <v>650</v>
      </c>
      <c r="B241" s="0" t="s">
        <v>651</v>
      </c>
      <c r="C241" s="0" t="s">
        <v>652</v>
      </c>
      <c r="D241" s="0">
        <f dt2D="0" dtr="0">HYPERLINK("https://www.icra.in/Rating/RatingDetails?CompanyId=0&amp;CompanyName=Aziz Enterprises", "Rationale")</f>
        <v/>
      </c>
    </row>
    <row r="242">
      <c r="A242" s="0" t="s">
        <v>653</v>
      </c>
      <c r="B242" s="0" t="s">
        <v>654</v>
      </c>
      <c r="C242" s="0" t="s">
        <v>655</v>
      </c>
      <c r="D242" s="0">
        <f dt2D="0" dtr="0">HYPERLINK("https://www.icra.in/Rating/RatingDetails?CompanyId=0&amp;CompanyName=B Fouress (P) Limited", "Rationale")</f>
        <v/>
      </c>
    </row>
    <row r="243">
      <c r="A243" s="0" t="s">
        <v>656</v>
      </c>
      <c r="B243" s="0" t="s">
        <v>657</v>
      </c>
      <c r="C243" s="0" t="s">
        <v>492</v>
      </c>
      <c r="D243" s="0">
        <f dt2D="0" dtr="0">HYPERLINK("https://www.icra.in/Rating/RatingDetails?CompanyId=0&amp;CompanyName=B L Goel &amp; Company", "Rationale")</f>
        <v/>
      </c>
    </row>
    <row r="244">
      <c r="A244" s="0" t="s">
        <v>658</v>
      </c>
      <c r="B244" s="0" t="s">
        <v>659</v>
      </c>
      <c r="C244" s="0" t="s">
        <v>71</v>
      </c>
      <c r="D244" s="0">
        <f dt2D="0" dtr="0">HYPERLINK("https://www.icra.in/Rating/RatingDetails?CompanyId=0&amp;CompanyName=B. K. Exports", "Rationale")</f>
        <v/>
      </c>
    </row>
    <row r="245">
      <c r="A245" s="0" t="s">
        <v>660</v>
      </c>
      <c r="B245" s="0" t="s">
        <v>661</v>
      </c>
      <c r="C245" s="0" t="s">
        <v>662</v>
      </c>
      <c r="D245" s="0">
        <f dt2D="0" dtr="0">HYPERLINK("https://www.icra.in/Rating/RatingDetails?CompanyId=0&amp;CompanyName=B. P. Food Products Pvt Ltd", "Rationale")</f>
        <v/>
      </c>
    </row>
    <row r="246">
      <c r="A246" s="0" t="s">
        <v>663</v>
      </c>
      <c r="B246" s="0" t="s">
        <v>664</v>
      </c>
      <c r="C246" s="0" t="s">
        <v>665</v>
      </c>
      <c r="D246" s="0">
        <f dt2D="0" dtr="0">HYPERLINK("https://www.icra.in/Rating/RatingDetails?CompanyId=0&amp;CompanyName=B. V. Cot Spin Industries", "Rationale")</f>
        <v/>
      </c>
    </row>
    <row r="247">
      <c r="A247" s="0" t="s">
        <v>666</v>
      </c>
      <c r="B247" s="0" t="s">
        <v>667</v>
      </c>
      <c r="C247" s="0" t="s">
        <v>71</v>
      </c>
      <c r="D247" s="0">
        <f dt2D="0" dtr="0">HYPERLINK("https://www.icra.in/Rating/RatingDetails?CompanyId=0&amp;CompanyName=B.D. Steels Private Limited", "Rationale")</f>
        <v/>
      </c>
    </row>
    <row r="248">
      <c r="A248" s="0" t="s">
        <v>668</v>
      </c>
      <c r="B248" s="0" t="s">
        <v>669</v>
      </c>
      <c r="C248" s="0" t="s">
        <v>670</v>
      </c>
      <c r="D248" s="0">
        <f dt2D="0" dtr="0">HYPERLINK("https://www.icra.in/Rating/RatingDetails?CompanyId=0&amp;CompanyName=B.H.Cotton Private Limited", "Rationale")</f>
        <v/>
      </c>
    </row>
    <row r="249">
      <c r="A249" s="0" t="s">
        <v>671</v>
      </c>
      <c r="B249" s="0" t="s">
        <v>672</v>
      </c>
      <c r="C249" s="0" t="s">
        <v>514</v>
      </c>
      <c r="D249" s="0">
        <f dt2D="0" dtr="0">HYPERLINK("https://www.icra.in/Rating/RatingDetails?CompanyId=0&amp;CompanyName=B.K. Print And Pack", "Rationale")</f>
        <v/>
      </c>
    </row>
    <row r="250">
      <c r="A250" s="0" t="s">
        <v>673</v>
      </c>
      <c r="B250" s="0" t="s">
        <v>674</v>
      </c>
      <c r="C250" s="0" t="s">
        <v>103</v>
      </c>
      <c r="D250" s="0">
        <f dt2D="0" dtr="0">HYPERLINK("https://www.icra.in/Rating/RatingDetails?CompanyId=0&amp;CompanyName=B.K.Threshers Pvt. Ltd", "Rationale")</f>
        <v/>
      </c>
    </row>
    <row r="251">
      <c r="A251" s="0" t="s">
        <v>675</v>
      </c>
      <c r="B251" s="0" t="s">
        <v>676</v>
      </c>
      <c r="C251" s="0" t="s">
        <v>71</v>
      </c>
      <c r="D251" s="0">
        <f dt2D="0" dtr="0">HYPERLINK("https://www.icra.in/Rating/RatingDetails?CompanyId=0&amp;CompanyName=B.L.D.E University", "Rationale")</f>
        <v/>
      </c>
    </row>
    <row r="252">
      <c r="A252" s="0" t="s">
        <v>677</v>
      </c>
      <c r="B252" s="0" t="s">
        <v>678</v>
      </c>
      <c r="C252" s="0" t="s">
        <v>679</v>
      </c>
      <c r="D252" s="0">
        <f dt2D="0" dtr="0">HYPERLINK("https://www.icra.in/Rating/RatingDetails?CompanyId=0&amp;CompanyName=B.R. Guar Gum Private Limited", "Rationale")</f>
        <v/>
      </c>
    </row>
    <row r="253">
      <c r="A253" s="0" t="s">
        <v>680</v>
      </c>
      <c r="B253" s="0" t="s">
        <v>681</v>
      </c>
      <c r="C253" s="0" t="s">
        <v>59</v>
      </c>
      <c r="D253" s="0">
        <f dt2D="0" dtr="0">HYPERLINK("https://www.icra.in/Rating/RatingDetails?CompanyId=0&amp;CompanyName=B.S. Agriculture Industries (India)", "Rationale")</f>
        <v/>
      </c>
    </row>
    <row r="254">
      <c r="A254" s="0" t="s">
        <v>682</v>
      </c>
      <c r="B254" s="0" t="s">
        <v>683</v>
      </c>
      <c r="C254" s="0" t="s">
        <v>71</v>
      </c>
      <c r="D254" s="0">
        <f dt2D="0" dtr="0">HYPERLINK("https://www.icra.in/Rating/RatingDetails?CompanyId=0&amp;CompanyName=B.V.L. Exports Private Limited", "Rationale")</f>
        <v/>
      </c>
    </row>
    <row r="255">
      <c r="A255" s="0" t="s">
        <v>684</v>
      </c>
      <c r="B255" s="0" t="s">
        <v>685</v>
      </c>
      <c r="C255" s="0" t="s">
        <v>686</v>
      </c>
      <c r="D255" s="0">
        <f dt2D="0" dtr="0">HYPERLINK("https://www.icra.in/Rating/RatingDetails?CompanyId=0&amp;CompanyName=Baba Akhila Sai Jyothi Industries Private Limited", "Rationale")</f>
        <v/>
      </c>
    </row>
    <row r="256">
      <c r="A256" s="0" t="s">
        <v>687</v>
      </c>
      <c r="B256" s="0" t="s">
        <v>688</v>
      </c>
      <c r="C256" s="0" t="s">
        <v>689</v>
      </c>
      <c r="D256" s="0">
        <f dt2D="0" dtr="0">HYPERLINK("https://www.icra.in/Rating/RatingDetails?CompanyId=0&amp;CompanyName=Baba Bhuman Shah Ji Rice Mills", "Rationale")</f>
        <v/>
      </c>
    </row>
    <row r="257">
      <c r="A257" s="0" t="s">
        <v>690</v>
      </c>
      <c r="B257" s="0" t="s">
        <v>691</v>
      </c>
      <c r="C257" s="0" t="s">
        <v>692</v>
      </c>
      <c r="D257" s="0">
        <f dt2D="0" dtr="0">HYPERLINK("https://www.icra.in/Rating/RatingDetails?CompanyId=0&amp;CompanyName=Baba Ispat (P) Ltd.", "Rationale")</f>
        <v/>
      </c>
    </row>
    <row r="258">
      <c r="A258" s="0" t="s">
        <v>693</v>
      </c>
      <c r="B258" s="0" t="s">
        <v>694</v>
      </c>
      <c r="C258" s="0" t="s">
        <v>71</v>
      </c>
      <c r="D258" s="0">
        <f dt2D="0" dtr="0">HYPERLINK("https://www.icra.in/Rating/RatingDetails?CompanyId=0&amp;CompanyName=Baba Jatadhari Agro (India) Pvt Ltd", "Rationale")</f>
        <v/>
      </c>
    </row>
    <row r="259">
      <c r="A259" s="0" t="s">
        <v>695</v>
      </c>
      <c r="B259" s="0" t="s">
        <v>696</v>
      </c>
      <c r="C259" s="0" t="s">
        <v>71</v>
      </c>
      <c r="D259" s="0">
        <f dt2D="0" dtr="0">HYPERLINK("https://www.icra.in/Rating/RatingDetails?CompanyId=0&amp;CompanyName=Baba Jhareswar Multipurpose Himghar Private Limited", "Rationale")</f>
        <v/>
      </c>
    </row>
    <row r="260">
      <c r="A260" s="0" t="s">
        <v>697</v>
      </c>
      <c r="B260" s="0" t="s">
        <v>698</v>
      </c>
      <c r="C260" s="0" t="s">
        <v>699</v>
      </c>
      <c r="D260" s="0">
        <f dt2D="0" dtr="0">HYPERLINK("https://www.icra.in/Rating/RatingDetails?CompanyId=0&amp;CompanyName=Badangpet Municipal Corporation", "Rationale")</f>
        <v/>
      </c>
    </row>
    <row r="261">
      <c r="A261" s="0" t="s">
        <v>700</v>
      </c>
      <c r="B261" s="0" t="s">
        <v>701</v>
      </c>
      <c r="C261" s="0" t="s">
        <v>6</v>
      </c>
      <c r="D261" s="0">
        <f dt2D="0" dtr="0">HYPERLINK("https://www.icra.in/Rating/RatingDetails?CompanyId=0&amp;CompanyName=Badepally Municipality", "Rationale")</f>
        <v/>
      </c>
    </row>
    <row r="262">
      <c r="A262" s="0" t="s">
        <v>702</v>
      </c>
      <c r="B262" s="0" t="s">
        <v>703</v>
      </c>
      <c r="C262" s="0" t="s">
        <v>256</v>
      </c>
      <c r="D262" s="0">
        <f dt2D="0" dtr="0">HYPERLINK("https://www.icra.in/Rating/RatingDetails?CompanyId=0&amp;CompanyName=Bafna Ginning And Pressing Private Limited", "Rationale")</f>
        <v/>
      </c>
    </row>
    <row r="263">
      <c r="A263" s="0" t="s">
        <v>704</v>
      </c>
      <c r="B263" s="0" t="s">
        <v>705</v>
      </c>
      <c r="C263" s="0" t="s">
        <v>706</v>
      </c>
      <c r="D263" s="0">
        <f dt2D="0" dtr="0">HYPERLINK("https://www.icra.in/Rating/RatingDetails?CompanyId=0&amp;CompanyName=Bafna Motors (Mumbai) Private Limited", "Rationale")</f>
        <v/>
      </c>
    </row>
    <row r="264">
      <c r="A264" s="0" t="s">
        <v>707</v>
      </c>
      <c r="B264" s="0" t="s">
        <v>708</v>
      </c>
      <c r="C264" s="0" t="s">
        <v>709</v>
      </c>
      <c r="D264" s="0">
        <f dt2D="0" dtr="0">HYPERLINK("https://www.icra.in/Rating/RatingDetails?CompanyId=0&amp;CompanyName=Bafna Motors Pune Pvt Ltd", "Rationale")</f>
        <v/>
      </c>
    </row>
    <row r="265">
      <c r="A265" s="0" t="s">
        <v>710</v>
      </c>
      <c r="B265" s="0" t="s">
        <v>711</v>
      </c>
      <c r="C265" s="0" t="s">
        <v>712</v>
      </c>
      <c r="D265" s="0">
        <f dt2D="0" dtr="0">HYPERLINK("https://www.icra.in/Rating/RatingDetails?CompanyId=0&amp;CompanyName=Bagga Link Motors Limited", "Rationale")</f>
        <v/>
      </c>
    </row>
    <row r="266">
      <c r="A266" s="0" t="s">
        <v>713</v>
      </c>
      <c r="B266" s="0" t="s">
        <v>714</v>
      </c>
      <c r="C266" s="0" t="s">
        <v>715</v>
      </c>
      <c r="D266" s="0">
        <f dt2D="0" dtr="0">HYPERLINK("https://www.icra.in/Rating/RatingDetails?CompanyId=0&amp;CompanyName=Bagga Luxury Motorcars Llp", "Rationale")</f>
        <v/>
      </c>
    </row>
    <row r="267">
      <c r="A267" s="0" t="s">
        <v>716</v>
      </c>
      <c r="B267" s="0" t="s">
        <v>717</v>
      </c>
      <c r="C267" s="0" t="s">
        <v>718</v>
      </c>
      <c r="D267" s="0">
        <f dt2D="0" dtr="0">HYPERLINK("https://www.icra.in/Rating/RatingDetails?CompanyId=0&amp;CompanyName=Bahra Educational And Charitable Society", "Rationale")</f>
        <v/>
      </c>
    </row>
    <row r="268">
      <c r="A268" s="0" t="s">
        <v>719</v>
      </c>
      <c r="B268" s="0" t="s">
        <v>720</v>
      </c>
      <c r="C268" s="0" t="s">
        <v>71</v>
      </c>
      <c r="D268" s="0">
        <f dt2D="0" dtr="0">HYPERLINK("https://www.icra.in/Rating/RatingDetails?CompanyId=0&amp;CompanyName=Bajrang Bronze Llp", "Rationale")</f>
        <v/>
      </c>
    </row>
    <row r="269">
      <c r="A269" s="0" t="s">
        <v>721</v>
      </c>
      <c r="B269" s="0" t="s">
        <v>722</v>
      </c>
      <c r="C269" s="0" t="s">
        <v>522</v>
      </c>
      <c r="D269" s="0">
        <f dt2D="0" dtr="0">HYPERLINK("https://www.icra.in/Rating/RatingDetails?CompanyId=0&amp;CompanyName=Bajrang Ginning &amp; Pressing Factory", "Rationale")</f>
        <v/>
      </c>
    </row>
    <row r="270">
      <c r="A270" s="0" t="s">
        <v>723</v>
      </c>
      <c r="B270" s="0" t="s">
        <v>724</v>
      </c>
      <c r="C270" s="0" t="s">
        <v>725</v>
      </c>
      <c r="D270" s="0">
        <f dt2D="0" dtr="0">HYPERLINK("https://www.icra.in/Rating/RatingDetails?CompanyId=0&amp;CompanyName=Balaji Educational and Cultural Trust", "Rationale")</f>
        <v/>
      </c>
    </row>
    <row r="271">
      <c r="A271" s="0" t="s">
        <v>726</v>
      </c>
      <c r="B271" s="0" t="s">
        <v>727</v>
      </c>
      <c r="C271" s="0" t="s">
        <v>71</v>
      </c>
      <c r="D271" s="0">
        <f dt2D="0" dtr="0">HYPERLINK("https://www.icra.in/Rating/RatingDetails?CompanyId=0&amp;CompanyName=Balaji Industrial and Agricultural Castings Private Limited", "Rationale")</f>
        <v/>
      </c>
    </row>
    <row r="272">
      <c r="A272" s="0" t="s">
        <v>728</v>
      </c>
      <c r="B272" s="0" t="s">
        <v>729</v>
      </c>
      <c r="C272" s="0" t="s">
        <v>71</v>
      </c>
      <c r="D272" s="0">
        <f dt2D="0" dtr="0">HYPERLINK("https://www.icra.in/Rating/RatingDetails?CompanyId=0&amp;CompanyName=Balaji Motors", "Rationale")</f>
        <v/>
      </c>
    </row>
    <row r="273">
      <c r="A273" s="0" t="s">
        <v>730</v>
      </c>
      <c r="B273" s="0" t="s">
        <v>731</v>
      </c>
      <c r="C273" s="0" t="s">
        <v>662</v>
      </c>
      <c r="D273" s="0">
        <f dt2D="0" dtr="0">HYPERLINK("https://www.icra.in/Rating/RatingDetails?CompanyId=0&amp;CompanyName=Balaji Overseas", "Rationale")</f>
        <v/>
      </c>
    </row>
    <row r="274">
      <c r="A274" s="0" t="s">
        <v>732</v>
      </c>
      <c r="B274" s="0" t="s">
        <v>733</v>
      </c>
      <c r="C274" s="0" t="s">
        <v>734</v>
      </c>
      <c r="D274" s="0">
        <f dt2D="0" dtr="0">HYPERLINK("https://www.icra.in/Rating/RatingDetails?CompanyId=0&amp;CompanyName=Balason Tea Company Private Limited", "Rationale")</f>
        <v/>
      </c>
    </row>
    <row r="275">
      <c r="A275" s="0" t="s">
        <v>735</v>
      </c>
      <c r="B275" s="0" t="s">
        <v>736</v>
      </c>
      <c r="C275" s="0" t="s">
        <v>564</v>
      </c>
      <c r="D275" s="0">
        <f dt2D="0" dtr="0">HYPERLINK("https://www.icra.in/Rating/RatingDetails?CompanyId=0&amp;CompanyName=Baldev Textile Mills Private Limited", "Rationale")</f>
        <v/>
      </c>
    </row>
    <row r="276">
      <c r="A276" s="0" t="s">
        <v>737</v>
      </c>
      <c r="B276" s="0" t="s">
        <v>738</v>
      </c>
      <c r="C276" s="0" t="s">
        <v>50</v>
      </c>
      <c r="D276" s="0">
        <f dt2D="0" dtr="0">HYPERLINK("https://www.icra.in/Rating/RatingDetails?CompanyId=0&amp;CompanyName=Baldovino", "Rationale")</f>
        <v/>
      </c>
    </row>
    <row r="277">
      <c r="A277" s="0" t="s">
        <v>739</v>
      </c>
      <c r="B277" s="0" t="s">
        <v>740</v>
      </c>
      <c r="C277" s="0" t="s">
        <v>741</v>
      </c>
      <c r="D277" s="0">
        <f dt2D="0" dtr="0">HYPERLINK("https://www.icra.in/Rating/RatingDetails?CompanyId=0&amp;CompanyName=Banas Stones Pvt. Ltd.", "Rationale")</f>
        <v/>
      </c>
    </row>
    <row r="278">
      <c r="A278" s="0" t="s">
        <v>742</v>
      </c>
      <c r="B278" s="0" t="s">
        <v>743</v>
      </c>
      <c r="C278" s="0" t="s">
        <v>744</v>
      </c>
      <c r="D278" s="0">
        <f dt2D="0" dtr="0">HYPERLINK("https://www.icra.in/Rating/RatingDetails?CompanyId=0&amp;CompanyName=Banashankari Agro Farms LLP", "Rationale")</f>
        <v/>
      </c>
    </row>
    <row r="279">
      <c r="A279" s="0" t="s">
        <v>745</v>
      </c>
      <c r="B279" s="0" t="s">
        <v>746</v>
      </c>
      <c r="C279" s="0" t="s">
        <v>747</v>
      </c>
      <c r="D279" s="0">
        <f dt2D="0" dtr="0">HYPERLINK("https://www.icra.in/Rating/RatingDetails?CompanyId=0&amp;CompanyName=Bandlaguda Jagir Municipal Corporation", "Rationale")</f>
        <v/>
      </c>
    </row>
    <row r="280">
      <c r="A280" s="0" t="s">
        <v>748</v>
      </c>
      <c r="B280" s="0" t="s">
        <v>749</v>
      </c>
      <c r="C280" s="0" t="s">
        <v>460</v>
      </c>
      <c r="D280" s="0">
        <f dt2D="0" dtr="0">HYPERLINK("https://www.icra.in/Rating/RatingDetails?CompanyId=0&amp;CompanyName=Bangalore Institute Of Gastroenterology Private Limited", "Rationale")</f>
        <v/>
      </c>
    </row>
    <row r="281">
      <c r="A281" s="0" t="s">
        <v>750</v>
      </c>
      <c r="B281" s="0" t="s">
        <v>751</v>
      </c>
      <c r="C281" s="0" t="s">
        <v>752</v>
      </c>
      <c r="D281" s="0">
        <f dt2D="0" dtr="0">HYPERLINK("https://www.icra.in/Rating/RatingDetails?CompanyId=0&amp;CompanyName=Bangalore Metallurgicals Private Limited", "Rationale")</f>
        <v/>
      </c>
    </row>
    <row r="282">
      <c r="A282" s="0" t="s">
        <v>753</v>
      </c>
      <c r="B282" s="0" t="s">
        <v>754</v>
      </c>
      <c r="C282" s="0" t="s">
        <v>755</v>
      </c>
      <c r="D282" s="0">
        <f dt2D="0" dtr="0">HYPERLINK("https://www.icra.in/Rating/RatingDetails?CompanyId=0&amp;CompanyName=Banox Exim Private Limited", "Rationale")</f>
        <v/>
      </c>
    </row>
    <row r="283">
      <c r="A283" s="0" t="s">
        <v>756</v>
      </c>
      <c r="B283" s="0" t="s">
        <v>757</v>
      </c>
      <c r="C283" s="0" t="s">
        <v>758</v>
      </c>
      <c r="D283" s="0">
        <f dt2D="0" dtr="0">HYPERLINK("https://www.icra.in/Rating/RatingDetails?CompanyId=0&amp;CompanyName=Bansal Foods (India)", "Rationale")</f>
        <v/>
      </c>
    </row>
    <row r="284">
      <c r="A284" s="0" t="s">
        <v>759</v>
      </c>
      <c r="B284" s="0" t="s">
        <v>760</v>
      </c>
      <c r="C284" s="0" t="s">
        <v>511</v>
      </c>
      <c r="D284" s="0">
        <f dt2D="0" dtr="0">HYPERLINK("https://www.icra.in/Rating/RatingDetails?CompanyId=0&amp;CompanyName=Bansal Iron &amp; Steel Rolling Mills", "Rationale")</f>
        <v/>
      </c>
    </row>
    <row r="285">
      <c r="A285" s="0" t="s">
        <v>761</v>
      </c>
      <c r="B285" s="0" t="s">
        <v>762</v>
      </c>
      <c r="C285" s="0" t="s">
        <v>763</v>
      </c>
      <c r="D285" s="0">
        <f dt2D="0" dtr="0">HYPERLINK("https://www.icra.in/Rating/RatingDetails?CompanyId=0&amp;CompanyName=Bansidhar Agarwalla &amp; Co. Pvt Ltd Unit: Chinsurah Cold Storage", "Rationale")</f>
        <v/>
      </c>
    </row>
    <row r="286">
      <c r="A286" s="0" t="s">
        <v>764</v>
      </c>
      <c r="B286" s="0" t="s">
        <v>765</v>
      </c>
      <c r="C286" s="0" t="s">
        <v>766</v>
      </c>
      <c r="D286" s="0">
        <f dt2D="0" dtr="0">HYPERLINK("https://www.icra.in/Rating/RatingDetails?CompanyId=0&amp;CompanyName=Baraka Overseas Traders", "Rationale")</f>
        <v/>
      </c>
    </row>
    <row r="287">
      <c r="A287" s="0" t="s">
        <v>767</v>
      </c>
      <c r="B287" s="0" t="s">
        <v>768</v>
      </c>
      <c r="C287" s="0" t="s">
        <v>430</v>
      </c>
      <c r="D287" s="0">
        <f dt2D="0" dtr="0">HYPERLINK("https://www.icra.in/Rating/RatingDetails?CompanyId=0&amp;CompanyName=Baramati Tollways Private Limited", "Rationale")</f>
        <v/>
      </c>
    </row>
    <row r="288">
      <c r="A288" s="0" t="s">
        <v>769</v>
      </c>
      <c r="B288" s="0" t="s">
        <v>770</v>
      </c>
      <c r="C288" s="0" t="s">
        <v>71</v>
      </c>
      <c r="D288" s="0">
        <f dt2D="0" dtr="0">HYPERLINK("https://www.icra.in/Rating/RatingDetails?CompanyId=0&amp;CompanyName=Barani Ferrocast Private Limited", "Rationale")</f>
        <v/>
      </c>
    </row>
    <row r="289">
      <c r="A289" s="0" t="s">
        <v>771</v>
      </c>
      <c r="B289" s="0" t="s">
        <v>772</v>
      </c>
      <c r="C289" s="0" t="s">
        <v>773</v>
      </c>
      <c r="D289" s="0">
        <f dt2D="0" dtr="0">HYPERLINK("https://www.icra.in/Rating/RatingDetails?CompanyId=0&amp;CompanyName=Barasat Krishnagar Expressways Limited", "Rationale")</f>
        <v/>
      </c>
    </row>
    <row r="290">
      <c r="A290" s="0" t="s">
        <v>774</v>
      </c>
      <c r="B290" s="0" t="s">
        <v>775</v>
      </c>
      <c r="C290" s="0" t="s">
        <v>160</v>
      </c>
      <c r="D290" s="0">
        <f dt2D="0" dtr="0">HYPERLINK("https://www.icra.in/Rating/RatingDetails?CompanyId=0&amp;CompanyName=Bardhaman Agro Products (I) Pvt. Ltd.", "Rationale")</f>
        <v/>
      </c>
    </row>
    <row r="291">
      <c r="A291" s="0" t="s">
        <v>776</v>
      </c>
      <c r="B291" s="0" t="s">
        <v>777</v>
      </c>
      <c r="C291" s="0" t="s">
        <v>547</v>
      </c>
      <c r="D291" s="0">
        <f dt2D="0" dtr="0">HYPERLINK("https://www.icra.in/Rating/RatingDetails?CompanyId=0&amp;CompanyName=Bardiya Real Estate Developers Private Limited", "Rationale")</f>
        <v/>
      </c>
    </row>
    <row r="292">
      <c r="A292" s="0" t="s">
        <v>778</v>
      </c>
      <c r="B292" s="0" t="s">
        <v>779</v>
      </c>
      <c r="C292" s="0" t="s">
        <v>652</v>
      </c>
      <c r="D292" s="0">
        <f dt2D="0" dtr="0">HYPERLINK("https://www.icra.in/Rating/RatingDetails?CompanyId=0&amp;CompanyName=Baroda Agro Chemicals Limited", "Rationale")</f>
        <v/>
      </c>
    </row>
    <row r="293">
      <c r="A293" s="0" t="s">
        <v>780</v>
      </c>
      <c r="B293" s="0" t="s">
        <v>781</v>
      </c>
      <c r="C293" s="0" t="s">
        <v>183</v>
      </c>
      <c r="D293" s="0">
        <f dt2D="0" dtr="0">HYPERLINK("https://www.icra.in/Rating/RatingDetails?CompanyId=0&amp;CompanyName=Baruapara Sk Tea Factory Pvt. Ltd.", "Rationale")</f>
        <v/>
      </c>
    </row>
    <row r="294">
      <c r="A294" s="0" t="s">
        <v>782</v>
      </c>
      <c r="B294" s="0" t="s">
        <v>783</v>
      </c>
      <c r="C294" s="0" t="s">
        <v>71</v>
      </c>
      <c r="D294" s="0">
        <f dt2D="0" dtr="0">HYPERLINK("https://www.icra.in/Rating/RatingDetails?CompanyId=0&amp;CompanyName=Basantdevi Charitable Trust", "Rationale")</f>
        <v/>
      </c>
    </row>
    <row r="295">
      <c r="A295" s="0" t="s">
        <v>784</v>
      </c>
      <c r="B295" s="0" t="s">
        <v>785</v>
      </c>
      <c r="C295" s="0" t="s">
        <v>786</v>
      </c>
      <c r="D295" s="0">
        <f dt2D="0" dtr="0">HYPERLINK("https://www.icra.in/Rating/RatingDetails?CompanyId=0&amp;CompanyName=Bazaar Konnections", "Rationale")</f>
        <v/>
      </c>
    </row>
    <row r="296">
      <c r="A296" s="0" t="s">
        <v>787</v>
      </c>
      <c r="B296" s="0" t="s">
        <v>788</v>
      </c>
      <c r="C296" s="0" t="s">
        <v>789</v>
      </c>
      <c r="D296" s="0">
        <f dt2D="0" dtr="0">HYPERLINK("https://www.icra.in/Rating/RatingDetails?CompanyId=0&amp;CompanyName=Beardsell Limited", "Rationale")</f>
        <v/>
      </c>
    </row>
    <row r="297">
      <c r="A297" s="0" t="s">
        <v>790</v>
      </c>
      <c r="B297" s="0" t="s">
        <v>791</v>
      </c>
      <c r="C297" s="0" t="s">
        <v>71</v>
      </c>
      <c r="D297" s="0">
        <f dt2D="0" dtr="0">HYPERLINK("https://www.icra.in/Rating/RatingDetails?CompanyId=0&amp;CompanyName=Beko Dimon Fishing Co", "Rationale")</f>
        <v/>
      </c>
    </row>
    <row r="298">
      <c r="A298" s="0" t="s">
        <v>792</v>
      </c>
      <c r="B298" s="0" t="s">
        <v>793</v>
      </c>
      <c r="C298" s="0" t="s">
        <v>794</v>
      </c>
      <c r="D298" s="0">
        <f dt2D="0" dtr="0">HYPERLINK("https://www.icra.in/Rating/RatingDetails?CompanyId=0&amp;CompanyName=Bellona Paper Mill Pvt. Ltd.", "Rationale")</f>
        <v/>
      </c>
    </row>
    <row r="299">
      <c r="A299" s="0" t="s">
        <v>795</v>
      </c>
      <c r="B299" s="0" t="s">
        <v>796</v>
      </c>
      <c r="C299" s="0" t="s">
        <v>797</v>
      </c>
      <c r="D299" s="0">
        <f dt2D="0" dtr="0">HYPERLINK("https://www.icra.in/Rating/RatingDetails?CompanyId=0&amp;CompanyName=Bestech Hospitalities Private Limited", "Rationale")</f>
        <v/>
      </c>
    </row>
    <row r="300">
      <c r="A300" s="0" t="s">
        <v>798</v>
      </c>
      <c r="B300" s="0" t="s">
        <v>799</v>
      </c>
      <c r="C300" s="0" t="s">
        <v>797</v>
      </c>
      <c r="D300" s="0">
        <f dt2D="0" dtr="0">HYPERLINK("https://www.icra.in/Rating/RatingDetails?CompanyId=0&amp;CompanyName=Bestech Hotels Private Limited", "Rationale")</f>
        <v/>
      </c>
    </row>
    <row r="301">
      <c r="A301" s="0" t="s">
        <v>800</v>
      </c>
      <c r="B301" s="0" t="s">
        <v>801</v>
      </c>
      <c r="C301" s="0" t="s">
        <v>797</v>
      </c>
      <c r="D301" s="0">
        <f dt2D="0" dtr="0">HYPERLINK("https://www.icra.in/Rating/RatingDetails?CompanyId=0&amp;CompanyName=Bestech India Private Limited", "Rationale")</f>
        <v/>
      </c>
    </row>
    <row r="302">
      <c r="A302" s="0" t="s">
        <v>802</v>
      </c>
      <c r="B302" s="0" t="s">
        <v>803</v>
      </c>
      <c r="C302" s="0" t="s">
        <v>24</v>
      </c>
      <c r="D302" s="0">
        <f dt2D="0" dtr="0">HYPERLINK("https://www.icra.in/Rating/RatingDetails?CompanyId=0&amp;CompanyName=Bestitch Knits", "Rationale")</f>
        <v/>
      </c>
    </row>
    <row r="303">
      <c r="A303" s="0" t="s">
        <v>804</v>
      </c>
      <c r="B303" s="0" t="s">
        <v>805</v>
      </c>
      <c r="C303" s="0" t="s">
        <v>50</v>
      </c>
      <c r="D303" s="0">
        <f dt2D="0" dtr="0">HYPERLINK("https://www.icra.in/Rating/RatingDetails?CompanyId=0&amp;CompanyName=Besto Mining India Pvt Ltd", "Rationale")</f>
        <v/>
      </c>
    </row>
    <row r="304">
      <c r="A304" s="0" t="s">
        <v>806</v>
      </c>
      <c r="B304" s="0" t="s">
        <v>807</v>
      </c>
      <c r="C304" s="0" t="s">
        <v>808</v>
      </c>
      <c r="D304" s="0">
        <f dt2D="0" dtr="0">HYPERLINK("https://www.icra.in/Rating/RatingDetails?CompanyId=0&amp;CompanyName=Betterman Engineers Private Limited", "Rationale")</f>
        <v/>
      </c>
    </row>
    <row r="305">
      <c r="A305" s="0" t="s">
        <v>809</v>
      </c>
      <c r="B305" s="0" t="s">
        <v>810</v>
      </c>
      <c r="C305" s="0" t="s">
        <v>168</v>
      </c>
      <c r="D305" s="0">
        <f dt2D="0" dtr="0">HYPERLINK("https://www.icra.in/Rating/RatingDetails?CompanyId=0&amp;CompanyName=Betul Biofuel Private Limited", "Rationale")</f>
        <v/>
      </c>
    </row>
    <row r="306">
      <c r="A306" s="0" t="s">
        <v>811</v>
      </c>
      <c r="B306" s="0" t="s">
        <v>812</v>
      </c>
      <c r="C306" s="0" t="s">
        <v>813</v>
      </c>
      <c r="D306" s="0">
        <f dt2D="0" dtr="0">HYPERLINK("https://www.icra.in/Rating/RatingDetails?CompanyId=0&amp;CompanyName=Bevcon Wayors Private Limited", "Rationale")</f>
        <v/>
      </c>
    </row>
    <row r="307">
      <c r="A307" s="0" t="s">
        <v>814</v>
      </c>
      <c r="B307" s="0" t="s">
        <v>815</v>
      </c>
      <c r="C307" s="0" t="s">
        <v>816</v>
      </c>
      <c r="D307" s="0">
        <f dt2D="0" dtr="0">HYPERLINK("https://www.icra.in/Rating/RatingDetails?CompanyId=0&amp;CompanyName=Bhadohi Carpets", "Rationale")</f>
        <v/>
      </c>
    </row>
    <row r="308">
      <c r="A308" s="0" t="s">
        <v>817</v>
      </c>
      <c r="B308" s="0" t="s">
        <v>818</v>
      </c>
      <c r="C308" s="0" t="s">
        <v>819</v>
      </c>
      <c r="D308" s="0">
        <f dt2D="0" dtr="0">HYPERLINK("https://www.icra.in/Rating/RatingDetails?CompanyId=0&amp;CompanyName=Bhadra International (India) Private Limited", "Rationale")</f>
        <v/>
      </c>
    </row>
    <row r="309">
      <c r="A309" s="0" t="s">
        <v>820</v>
      </c>
      <c r="B309" s="0" t="s">
        <v>821</v>
      </c>
      <c r="C309" s="0" t="s">
        <v>822</v>
      </c>
      <c r="D309" s="0">
        <f dt2D="0" dtr="0">HYPERLINK("https://www.icra.in/Rating/RatingDetails?CompanyId=0&amp;CompanyName=Bhadreshwar Vidyut Private Limited", "Rationale")</f>
        <v/>
      </c>
    </row>
    <row r="310">
      <c r="A310" s="0" t="s">
        <v>823</v>
      </c>
      <c r="B310" s="0" t="s">
        <v>824</v>
      </c>
      <c r="C310" s="0" t="s">
        <v>825</v>
      </c>
      <c r="D310" s="0">
        <f dt2D="0" dtr="0">HYPERLINK("https://www.icra.in/Rating/RatingDetails?CompanyId=0&amp;CompanyName=Bhagabati Build &amp; Constructions Pvt. Ltd.", "Rationale")</f>
        <v/>
      </c>
    </row>
    <row r="311">
      <c r="A311" s="0" t="s">
        <v>826</v>
      </c>
      <c r="B311" s="0" t="s">
        <v>827</v>
      </c>
      <c r="C311" s="0" t="s">
        <v>828</v>
      </c>
      <c r="D311" s="0">
        <f dt2D="0" dtr="0">HYPERLINK("https://www.icra.in/Rating/RatingDetails?CompanyId=0&amp;CompanyName=Bhagatpur Tea Co. Ltd", "Rationale")</f>
        <v/>
      </c>
    </row>
    <row r="312">
      <c r="A312" s="0" t="s">
        <v>829</v>
      </c>
      <c r="B312" s="0" t="s">
        <v>830</v>
      </c>
      <c r="C312" s="0" t="s">
        <v>831</v>
      </c>
      <c r="D312" s="0">
        <f dt2D="0" dtr="0">HYPERLINK("https://www.icra.in/Rating/RatingDetails?CompanyId=0&amp;CompanyName=Bhagyanagar Chlorides Private Limited", "Rationale")</f>
        <v/>
      </c>
    </row>
    <row r="313">
      <c r="A313" s="0" t="s">
        <v>832</v>
      </c>
      <c r="B313" s="0" t="s">
        <v>833</v>
      </c>
      <c r="C313" s="0" t="s">
        <v>834</v>
      </c>
      <c r="D313" s="0">
        <f dt2D="0" dtr="0">HYPERLINK("https://www.icra.in/Rating/RatingDetails?CompanyId=0&amp;CompanyName=Bhagyanagar Strips Private Limited", "Rationale")</f>
        <v/>
      </c>
    </row>
    <row r="314">
      <c r="A314" s="0" t="s">
        <v>835</v>
      </c>
      <c r="B314" s="0" t="s">
        <v>836</v>
      </c>
      <c r="C314" s="0" t="s">
        <v>192</v>
      </c>
      <c r="D314" s="0">
        <f dt2D="0" dtr="0">HYPERLINK("https://www.icra.in/Rating/RatingDetails?CompanyId=0&amp;CompanyName=Bhagyashree Infra Projects", "Rationale")</f>
        <v/>
      </c>
    </row>
    <row r="315">
      <c r="A315" s="0" t="s">
        <v>837</v>
      </c>
      <c r="B315" s="0" t="s">
        <v>838</v>
      </c>
      <c r="C315" s="0" t="s">
        <v>839</v>
      </c>
      <c r="D315" s="0">
        <f dt2D="0" dtr="0">HYPERLINK("https://www.icra.in/Rating/RatingDetails?CompanyId=0&amp;CompanyName=Bhalkeshwar Sugars Limited", "Rationale")</f>
        <v/>
      </c>
    </row>
    <row r="316">
      <c r="A316" s="0" t="s">
        <v>840</v>
      </c>
      <c r="B316" s="0" t="s">
        <v>841</v>
      </c>
      <c r="C316" s="0" t="s">
        <v>842</v>
      </c>
      <c r="D316" s="0">
        <f dt2D="0" dtr="0">HYPERLINK("https://www.icra.in/Rating/RatingDetails?CompanyId=0&amp;CompanyName=Bhalla Chemical Works Pvt. Ltd.", "Rationale")</f>
        <v/>
      </c>
    </row>
    <row r="317">
      <c r="A317" s="0" t="s">
        <v>843</v>
      </c>
      <c r="B317" s="0" t="s">
        <v>844</v>
      </c>
      <c r="C317" s="0" t="s">
        <v>845</v>
      </c>
      <c r="D317" s="0">
        <f dt2D="0" dtr="0">HYPERLINK("https://www.icra.in/Rating/RatingDetails?CompanyId=0&amp;CompanyName=Bhanu Construction", "Rationale")</f>
        <v/>
      </c>
    </row>
    <row r="318">
      <c r="A318" s="0" t="s">
        <v>846</v>
      </c>
      <c r="B318" s="0" t="s">
        <v>847</v>
      </c>
      <c r="C318" s="0" t="s">
        <v>744</v>
      </c>
      <c r="D318" s="0">
        <f dt2D="0" dtr="0">HYPERLINK("https://www.icra.in/Rating/RatingDetails?CompanyId=0&amp;CompanyName=Bharat Cottage Industries", "Rationale")</f>
        <v/>
      </c>
    </row>
    <row r="319">
      <c r="A319" s="0" t="s">
        <v>848</v>
      </c>
      <c r="B319" s="0" t="s">
        <v>849</v>
      </c>
      <c r="C319" s="0" t="s">
        <v>39</v>
      </c>
      <c r="D319" s="0">
        <f dt2D="0" dtr="0">HYPERLINK("https://www.icra.in/Rating/RatingDetails?CompanyId=0&amp;CompanyName=Bharat Export Overseas", "Rationale")</f>
        <v/>
      </c>
    </row>
    <row r="320">
      <c r="A320" s="0" t="s">
        <v>850</v>
      </c>
      <c r="B320" s="0" t="s">
        <v>851</v>
      </c>
      <c r="C320" s="0" t="s">
        <v>852</v>
      </c>
      <c r="D320" s="0">
        <f dt2D="0" dtr="0">HYPERLINK("https://www.icra.in/Rating/RatingDetails?CompanyId=0&amp;CompanyName=Bharat Food &amp; Agro Products", "Rationale")</f>
        <v/>
      </c>
    </row>
    <row r="321">
      <c r="A321" s="0" t="s">
        <v>853</v>
      </c>
      <c r="B321" s="0" t="s">
        <v>854</v>
      </c>
      <c r="C321" s="0" t="s">
        <v>855</v>
      </c>
      <c r="D321" s="0">
        <f dt2D="0" dtr="0">HYPERLINK("https://www.icra.in/Rating/RatingDetails?CompanyId=0&amp;CompanyName=Bharat Immunologicals &amp; Biologicals Corporation Limited", "Rationale")</f>
        <v/>
      </c>
    </row>
    <row r="322">
      <c r="A322" s="0" t="s">
        <v>856</v>
      </c>
      <c r="B322" s="0" t="s">
        <v>857</v>
      </c>
      <c r="C322" s="0" t="s">
        <v>858</v>
      </c>
      <c r="D322" s="0">
        <f dt2D="0" dtr="0">HYPERLINK("https://www.icra.in/Rating/RatingDetails?CompanyId=0&amp;CompanyName=Bharat Iron Syndicate", "Rationale")</f>
        <v/>
      </c>
    </row>
    <row r="323">
      <c r="A323" s="0" t="s">
        <v>859</v>
      </c>
      <c r="B323" s="0" t="s">
        <v>860</v>
      </c>
      <c r="C323" s="0" t="s">
        <v>372</v>
      </c>
      <c r="D323" s="0">
        <f dt2D="0" dtr="0">HYPERLINK("https://www.icra.in/Rating/RatingDetails?CompanyId=0&amp;CompanyName=Bharat Timber &amp; Construction Co.", "Rationale")</f>
        <v/>
      </c>
    </row>
    <row r="324">
      <c r="A324" s="0" t="s">
        <v>861</v>
      </c>
      <c r="B324" s="0" t="s">
        <v>862</v>
      </c>
      <c r="C324" s="0" t="s">
        <v>863</v>
      </c>
      <c r="D324" s="0">
        <f dt2D="0" dtr="0">HYPERLINK("https://www.icra.in/Rating/RatingDetails?CompanyId=0&amp;CompanyName=Bhaskara Marketing Services", "Rationale")</f>
        <v/>
      </c>
    </row>
    <row r="325">
      <c r="A325" s="0" t="s">
        <v>864</v>
      </c>
      <c r="B325" s="0" t="s">
        <v>865</v>
      </c>
      <c r="C325" s="0" t="s">
        <v>183</v>
      </c>
      <c r="D325" s="0">
        <f dt2D="0" dtr="0">HYPERLINK("https://www.icra.in/Rating/RatingDetails?CompanyId=0&amp;CompanyName=Bhatia &amp; Company", "Rationale")</f>
        <v/>
      </c>
    </row>
    <row r="326">
      <c r="A326" s="0" t="s">
        <v>866</v>
      </c>
      <c r="B326" s="0" t="s">
        <v>867</v>
      </c>
      <c r="C326" s="0" t="s">
        <v>868</v>
      </c>
      <c r="D326" s="0">
        <f dt2D="0" dtr="0">HYPERLINK("https://www.icra.in/Rating/RatingDetails?CompanyId=0&amp;CompanyName=Bhatia Coke &amp; Energy Limited", "Rationale")</f>
        <v/>
      </c>
    </row>
    <row r="327">
      <c r="A327" s="0" t="s">
        <v>869</v>
      </c>
      <c r="B327" s="0" t="s">
        <v>870</v>
      </c>
      <c r="C327" s="0" t="s">
        <v>39</v>
      </c>
      <c r="D327" s="0">
        <f dt2D="0" dtr="0">HYPERLINK("https://www.icra.in/Rating/RatingDetails?CompanyId=0&amp;CompanyName=Bhatia Colonizers Private Limited", "Rationale")</f>
        <v/>
      </c>
    </row>
    <row r="328">
      <c r="A328" s="0" t="s">
        <v>871</v>
      </c>
      <c r="B328" s="0" t="s">
        <v>872</v>
      </c>
      <c r="C328" s="0" t="s">
        <v>873</v>
      </c>
      <c r="D328" s="0">
        <f dt2D="0" dtr="0">HYPERLINK("https://www.icra.in/Rating/RatingDetails?CompanyId=0&amp;CompanyName=Bhavani Cotex", "Rationale")</f>
        <v/>
      </c>
    </row>
    <row r="329">
      <c r="A329" s="0" t="s">
        <v>874</v>
      </c>
      <c r="B329" s="0" t="s">
        <v>875</v>
      </c>
      <c r="C329" s="0" t="s">
        <v>141</v>
      </c>
      <c r="D329" s="0">
        <f dt2D="0" dtr="0">HYPERLINK("https://www.icra.in/Rating/RatingDetails?CompanyId=0&amp;CompanyName=Bhavin Agri-Infra Private Limited", "Rationale")</f>
        <v/>
      </c>
    </row>
    <row r="330">
      <c r="A330" s="0" t="s">
        <v>876</v>
      </c>
      <c r="B330" s="0" t="s">
        <v>877</v>
      </c>
      <c r="C330" s="0" t="s">
        <v>39</v>
      </c>
      <c r="D330" s="0">
        <f dt2D="0" dtr="0">HYPERLINK("https://www.icra.in/Rating/RatingDetails?CompanyId=0&amp;CompanyName=Bhavya Enterprises.", "Rationale")</f>
        <v/>
      </c>
    </row>
    <row r="331">
      <c r="A331" s="0" t="s">
        <v>878</v>
      </c>
      <c r="B331" s="0" t="s">
        <v>879</v>
      </c>
      <c r="C331" s="0" t="s">
        <v>256</v>
      </c>
      <c r="D331" s="0">
        <f dt2D="0" dtr="0">HYPERLINK("https://www.icra.in/Rating/RatingDetails?CompanyId=0&amp;CompanyName=Bhavyalaxmi Industries (P) Ltd.", "Rationale")</f>
        <v/>
      </c>
    </row>
    <row r="332">
      <c r="A332" s="0" t="s">
        <v>880</v>
      </c>
      <c r="B332" s="0" t="s">
        <v>881</v>
      </c>
      <c r="C332" s="0" t="s">
        <v>882</v>
      </c>
      <c r="D332" s="0">
        <f dt2D="0" dtr="0">HYPERLINK("https://www.icra.in/Rating/RatingDetails?CompanyId=0&amp;CompanyName=Bhawar Lifestyle", "Rationale")</f>
        <v/>
      </c>
    </row>
    <row r="333">
      <c r="A333" s="0" t="s">
        <v>883</v>
      </c>
      <c r="B333" s="0" t="s">
        <v>884</v>
      </c>
      <c r="C333" s="0" t="s">
        <v>885</v>
      </c>
      <c r="D333" s="0">
        <f dt2D="0" dtr="0">HYPERLINK("https://www.icra.in/Rating/RatingDetails?CompanyId=0&amp;CompanyName=Bhimavaram Municipality", "Rationale")</f>
        <v/>
      </c>
    </row>
    <row r="334">
      <c r="A334" s="0" t="s">
        <v>886</v>
      </c>
      <c r="B334" s="0" t="s">
        <v>887</v>
      </c>
      <c r="C334" s="0" t="s">
        <v>888</v>
      </c>
      <c r="D334" s="0">
        <f dt2D="0" dtr="0">HYPERLINK("https://www.icra.in/Rating/RatingDetails?CompanyId=0&amp;CompanyName=Bhoomi Ginning Pressing Pvt Ltd", "Rationale")</f>
        <v/>
      </c>
    </row>
    <row r="335">
      <c r="A335" s="0" t="s">
        <v>889</v>
      </c>
      <c r="B335" s="0" t="s">
        <v>890</v>
      </c>
      <c r="C335" s="0" t="s">
        <v>891</v>
      </c>
      <c r="D335" s="0">
        <f dt2D="0" dtr="0">HYPERLINK("https://www.icra.in/Rating/RatingDetails?CompanyId=0&amp;CompanyName=Biax Electric &amp; Controls Pvt. Ltd.", "Rationale")</f>
        <v/>
      </c>
    </row>
    <row r="336">
      <c r="A336" s="0" t="s">
        <v>892</v>
      </c>
      <c r="B336" s="0" t="s">
        <v>893</v>
      </c>
      <c r="C336" s="0" t="s">
        <v>894</v>
      </c>
      <c r="D336" s="0">
        <f dt2D="0" dtr="0">HYPERLINK("https://www.icra.in/Rating/RatingDetails?CompanyId=0&amp;CompanyName=Bicero Tiles LLP", "Rationale")</f>
        <v/>
      </c>
    </row>
    <row r="337">
      <c r="A337" s="0" t="s">
        <v>895</v>
      </c>
      <c r="B337" s="0" t="s">
        <v>896</v>
      </c>
      <c r="C337" s="0" t="s">
        <v>897</v>
      </c>
      <c r="D337" s="0">
        <f dt2D="0" dtr="0">HYPERLINK("https://www.icra.in/Rating/RatingDetails?CompanyId=0&amp;CompanyName=Big Tiles", "Rationale")</f>
        <v/>
      </c>
    </row>
    <row r="338">
      <c r="A338" s="0" t="s">
        <v>898</v>
      </c>
      <c r="B338" s="0" t="s">
        <v>899</v>
      </c>
      <c r="C338" s="0" t="s">
        <v>71</v>
      </c>
      <c r="D338" s="0">
        <f dt2D="0" dtr="0">HYPERLINK("https://www.icra.in/Rating/RatingDetails?CompanyId=0&amp;CompanyName=Bindu Food Processors Private Limited", "Rationale")</f>
        <v/>
      </c>
    </row>
    <row r="339">
      <c r="A339" s="0" t="s">
        <v>900</v>
      </c>
      <c r="B339" s="0" t="s">
        <v>901</v>
      </c>
      <c r="C339" s="0" t="s">
        <v>902</v>
      </c>
      <c r="D339" s="0">
        <f dt2D="0" dtr="0">HYPERLINK("https://www.icra.in/Rating/RatingDetails?CompanyId=0&amp;CompanyName=Binjusaria Papers Private Limited", "Rationale")</f>
        <v/>
      </c>
    </row>
    <row r="340">
      <c r="A340" s="0" t="s">
        <v>903</v>
      </c>
      <c r="B340" s="0" t="s">
        <v>904</v>
      </c>
      <c r="C340" s="0" t="s">
        <v>71</v>
      </c>
      <c r="D340" s="0">
        <f dt2D="0" dtr="0">HYPERLINK("https://www.icra.in/Rating/RatingDetails?CompanyId=0&amp;CompanyName=Bipin Kumar Agrawal", "Rationale")</f>
        <v/>
      </c>
    </row>
    <row r="341">
      <c r="A341" s="0" t="s">
        <v>905</v>
      </c>
      <c r="B341" s="0" t="s">
        <v>906</v>
      </c>
      <c r="C341" s="0" t="s">
        <v>907</v>
      </c>
      <c r="D341" s="0">
        <f dt2D="0" dtr="0">HYPERLINK("https://www.icra.in/Rating/RatingDetails?CompanyId=0&amp;CompanyName=Bird Airport Hotel Private Limited", "Rationale")</f>
        <v/>
      </c>
    </row>
    <row r="342">
      <c r="A342" s="0" t="s">
        <v>908</v>
      </c>
      <c r="B342" s="0" t="s">
        <v>909</v>
      </c>
      <c r="C342" s="0" t="s">
        <v>457</v>
      </c>
      <c r="D342" s="0">
        <f dt2D="0" dtr="0">HYPERLINK("https://www.icra.in/Rating/RatingDetails?CompanyId=0&amp;CompanyName=Birin Spinning Mills Limited", "Rationale")</f>
        <v/>
      </c>
    </row>
    <row r="343">
      <c r="A343" s="0" t="s">
        <v>910</v>
      </c>
      <c r="B343" s="0" t="s">
        <v>911</v>
      </c>
      <c r="C343" s="0" t="s">
        <v>912</v>
      </c>
      <c r="D343" s="0">
        <f dt2D="0" dtr="0">HYPERLINK("https://www.icra.in/Rating/RatingDetails?CompanyId=0&amp;CompanyName=Biscon Tiles LLP", "Rationale")</f>
        <v/>
      </c>
    </row>
    <row r="344">
      <c r="A344" s="0" t="s">
        <v>913</v>
      </c>
      <c r="B344" s="0" t="s">
        <v>914</v>
      </c>
      <c r="C344" s="0" t="s">
        <v>915</v>
      </c>
      <c r="D344" s="0">
        <f dt2D="0" dtr="0">HYPERLINK("https://www.icra.in/Rating/RatingDetails?CompanyId=0&amp;CompanyName=Bisman Industries Limited", "Rationale")</f>
        <v/>
      </c>
    </row>
    <row r="345">
      <c r="A345" s="0" t="s">
        <v>916</v>
      </c>
      <c r="B345" s="0" t="s">
        <v>917</v>
      </c>
      <c r="C345" s="0" t="s">
        <v>918</v>
      </c>
      <c r="D345" s="0">
        <f dt2D="0" dtr="0">HYPERLINK("https://www.icra.in/Rating/RatingDetails?CompanyId=0&amp;CompanyName=Bisui Poultry Private Limited", "Rationale")</f>
        <v/>
      </c>
    </row>
    <row r="346">
      <c r="A346" s="0" t="s">
        <v>919</v>
      </c>
      <c r="B346" s="0" t="s">
        <v>920</v>
      </c>
      <c r="C346" s="0" t="s">
        <v>921</v>
      </c>
      <c r="D346" s="0">
        <f dt2D="0" dtr="0">HYPERLINK("https://www.icra.in/Rating/RatingDetails?CompanyId=0&amp;CompanyName=BIUM Industries Private Limited", "Rationale")</f>
        <v/>
      </c>
    </row>
    <row r="347">
      <c r="A347" s="0" t="s">
        <v>922</v>
      </c>
      <c r="B347" s="0" t="s">
        <v>923</v>
      </c>
      <c r="C347" s="0" t="s">
        <v>828</v>
      </c>
      <c r="D347" s="0">
        <f dt2D="0" dtr="0">HYPERLINK("https://www.icra.in/Rating/RatingDetails?CompanyId=0&amp;CompanyName=BLG Construction Service Pvt Ltd", "Rationale")</f>
        <v/>
      </c>
    </row>
    <row r="348">
      <c r="A348" s="0" t="s">
        <v>924</v>
      </c>
      <c r="B348" s="0" t="s">
        <v>925</v>
      </c>
      <c r="C348" s="0" t="s">
        <v>926</v>
      </c>
      <c r="D348" s="0">
        <f dt2D="0" dtr="0">HYPERLINK("https://www.icra.in/Rating/RatingDetails?CompanyId=0&amp;CompanyName=Bliss Management Services Private Limited", "Rationale")</f>
        <v/>
      </c>
    </row>
    <row r="349">
      <c r="A349" s="0" t="s">
        <v>927</v>
      </c>
      <c r="B349" s="0" t="s">
        <v>928</v>
      </c>
      <c r="C349" s="0" t="s">
        <v>929</v>
      </c>
      <c r="D349" s="0">
        <f dt2D="0" dtr="0">HYPERLINK("https://www.icra.in/Rating/RatingDetails?CompanyId=0&amp;CompanyName=BMS Projects", "Rationale")</f>
        <v/>
      </c>
    </row>
    <row r="350">
      <c r="A350" s="0" t="s">
        <v>930</v>
      </c>
      <c r="B350" s="0" t="s">
        <v>931</v>
      </c>
      <c r="C350" s="0" t="s">
        <v>932</v>
      </c>
      <c r="D350" s="0">
        <f dt2D="0" dtr="0">HYPERLINK("https://www.icra.in/Rating/RatingDetails?CompanyId=0&amp;CompanyName=BNR Infrastructure Projects Private Limited", "Rationale")</f>
        <v/>
      </c>
    </row>
    <row r="351">
      <c r="A351" s="0" t="s">
        <v>933</v>
      </c>
      <c r="B351" s="0" t="s">
        <v>934</v>
      </c>
      <c r="C351" s="0" t="s">
        <v>301</v>
      </c>
      <c r="D351" s="0">
        <f dt2D="0" dtr="0">HYPERLINK("https://www.icra.in/Rating/RatingDetails?CompanyId=0&amp;CompanyName=Bochem Healthcare Pvt. Ltd.", "Rationale")</f>
        <v/>
      </c>
    </row>
    <row r="352">
      <c r="A352" s="0" t="s">
        <v>935</v>
      </c>
      <c r="B352" s="0" t="s">
        <v>936</v>
      </c>
      <c r="C352" s="0" t="s">
        <v>138</v>
      </c>
      <c r="D352" s="0">
        <f dt2D="0" dtr="0">HYPERLINK("https://www.icra.in/Rating/RatingDetails?CompanyId=0&amp;CompanyName=Boduppal Municipal Corporation", "Rationale")</f>
        <v/>
      </c>
    </row>
    <row r="353">
      <c r="A353" s="0" t="s">
        <v>937</v>
      </c>
      <c r="B353" s="0" t="s">
        <v>938</v>
      </c>
      <c r="C353" s="0" t="s">
        <v>71</v>
      </c>
      <c r="D353" s="0">
        <f dt2D="0" dtr="0">HYPERLINK("https://www.icra.in/Rating/RatingDetails?CompanyId=0&amp;CompanyName=Boltmaster (India) Private Limited", "Rationale")</f>
        <v/>
      </c>
    </row>
    <row r="354">
      <c r="A354" s="0" t="s">
        <v>939</v>
      </c>
      <c r="B354" s="0" t="s">
        <v>940</v>
      </c>
      <c r="C354" s="0" t="s">
        <v>941</v>
      </c>
      <c r="D354" s="0">
        <f dt2D="0" dtr="0">HYPERLINK("https://www.icra.in/Rating/RatingDetails?CompanyId=0&amp;CompanyName=Bommineni Ramanjaneyulu", "Rationale")</f>
        <v/>
      </c>
    </row>
    <row r="355">
      <c r="A355" s="0" t="s">
        <v>942</v>
      </c>
      <c r="B355" s="0" t="s">
        <v>943</v>
      </c>
      <c r="C355" s="0" t="s">
        <v>223</v>
      </c>
      <c r="D355" s="0">
        <f dt2D="0" dtr="0">HYPERLINK("https://www.icra.in/Rating/RatingDetails?CompanyId=0&amp;CompanyName=Bonza Vitrified Pvt. Ltd.", "Rationale")</f>
        <v/>
      </c>
    </row>
    <row r="356">
      <c r="A356" s="0" t="s">
        <v>944</v>
      </c>
      <c r="B356" s="0" t="s">
        <v>945</v>
      </c>
      <c r="C356" s="0" t="s">
        <v>679</v>
      </c>
      <c r="D356" s="0">
        <f dt2D="0" dtr="0">HYPERLINK("https://www.icra.in/Rating/RatingDetails?CompanyId=0&amp;CompanyName=Boss Cotton And Oil Industries", "Rationale")</f>
        <v/>
      </c>
    </row>
    <row r="357">
      <c r="A357" s="0" t="s">
        <v>946</v>
      </c>
      <c r="B357" s="0" t="s">
        <v>947</v>
      </c>
      <c r="C357" s="0" t="s">
        <v>948</v>
      </c>
      <c r="D357" s="0">
        <f dt2D="0" dtr="0">HYPERLINK("https://www.icra.in/Rating/RatingDetails?CompanyId=0&amp;CompanyName=Botil Oil Tools India Private Limited", "Rationale")</f>
        <v/>
      </c>
    </row>
    <row r="358">
      <c r="A358" s="0" t="s">
        <v>949</v>
      </c>
      <c r="B358" s="0" t="s">
        <v>950</v>
      </c>
      <c r="C358" s="0" t="s">
        <v>439</v>
      </c>
      <c r="D358" s="0">
        <f dt2D="0" dtr="0">HYPERLINK("https://www.icra.in/Rating/RatingDetails?CompanyId=0&amp;CompanyName=Brainer Infra Llp", "Rationale")</f>
        <v/>
      </c>
    </row>
    <row r="359">
      <c r="A359" s="0" t="s">
        <v>951</v>
      </c>
      <c r="B359" s="0" t="s">
        <v>952</v>
      </c>
      <c r="C359" s="0" t="s">
        <v>71</v>
      </c>
      <c r="D359" s="0">
        <f dt2D="0" dtr="0">HYPERLINK("https://www.icra.in/Rating/RatingDetails?CompanyId=0&amp;CompanyName=Brajesh Packaging Private Limited", "Rationale")</f>
        <v/>
      </c>
    </row>
    <row r="360">
      <c r="A360" s="0" t="s">
        <v>953</v>
      </c>
      <c r="B360" s="0" t="s">
        <v>954</v>
      </c>
      <c r="C360" s="0" t="s">
        <v>955</v>
      </c>
      <c r="D360" s="0">
        <f dt2D="0" dtr="0">HYPERLINK("https://www.icra.in/Rating/RatingDetails?CompanyId=0&amp;CompanyName=Brawn Laboratories Limited", "Rationale")</f>
        <v/>
      </c>
    </row>
    <row r="361">
      <c r="A361" s="0" t="s">
        <v>956</v>
      </c>
      <c r="B361" s="0" t="s">
        <v>957</v>
      </c>
      <c r="C361" s="0" t="s">
        <v>958</v>
      </c>
      <c r="D361" s="0">
        <f dt2D="0" dtr="0">HYPERLINK("https://www.icra.in/Rating/RatingDetails?CompanyId=0&amp;CompanyName=Brightstar Infrastructure Private Limited", "Rationale")</f>
        <v/>
      </c>
    </row>
    <row r="362">
      <c r="A362" s="0" t="s">
        <v>959</v>
      </c>
      <c r="B362" s="0" t="s">
        <v>960</v>
      </c>
      <c r="C362" s="0" t="s">
        <v>71</v>
      </c>
      <c r="D362" s="0">
        <f dt2D="0" dtr="0">HYPERLINK("https://www.icra.in/Rating/RatingDetails?CompanyId=0&amp;CompanyName=Brij Engineering Works", "Rationale")</f>
        <v/>
      </c>
    </row>
    <row r="363">
      <c r="A363" s="0" t="s">
        <v>961</v>
      </c>
      <c r="B363" s="0" t="s">
        <v>962</v>
      </c>
      <c r="C363" s="0" t="s">
        <v>963</v>
      </c>
      <c r="D363" s="0">
        <f dt2D="0" dtr="0">HYPERLINK("https://www.icra.in/Rating/RatingDetails?CompanyId=0&amp;CompanyName=Brijbasi Art Press Limited", "Rationale")</f>
        <v/>
      </c>
    </row>
    <row r="364">
      <c r="A364" s="0" t="s">
        <v>964</v>
      </c>
      <c r="B364" s="0" t="s">
        <v>965</v>
      </c>
      <c r="C364" s="0" t="s">
        <v>71</v>
      </c>
      <c r="D364" s="0">
        <f dt2D="0" dtr="0">HYPERLINK("https://www.icra.in/Rating/RatingDetails?CompanyId=0&amp;CompanyName=Brijnandan Industries Private Limited", "Rationale")</f>
        <v/>
      </c>
    </row>
    <row r="365">
      <c r="A365" s="0" t="s">
        <v>966</v>
      </c>
      <c r="B365" s="0" t="s">
        <v>967</v>
      </c>
      <c r="C365" s="0" t="s">
        <v>968</v>
      </c>
      <c r="D365" s="0">
        <f dt2D="0" dtr="0">HYPERLINK("https://www.icra.in/Rating/RatingDetails?CompanyId=0&amp;CompanyName=Brisk Facilities (Sugar Division) Private Limited", "Rationale")</f>
        <v/>
      </c>
    </row>
    <row r="366">
      <c r="A366" s="0" t="s">
        <v>969</v>
      </c>
      <c r="B366" s="0" t="s">
        <v>970</v>
      </c>
      <c r="C366" s="0" t="s">
        <v>971</v>
      </c>
      <c r="D366" s="0">
        <f dt2D="0" dtr="0">HYPERLINK("https://www.icra.in/Rating/RatingDetails?CompanyId=0&amp;CompanyName=Brisk India Private Limited", "Rationale")</f>
        <v/>
      </c>
    </row>
    <row r="367">
      <c r="A367" s="0" t="s">
        <v>972</v>
      </c>
      <c r="B367" s="0" t="s">
        <v>973</v>
      </c>
      <c r="C367" s="0" t="s">
        <v>752</v>
      </c>
      <c r="D367" s="0">
        <f dt2D="0" dtr="0">HYPERLINK("https://www.icra.in/Rating/RatingDetails?CompanyId=0&amp;CompanyName=Broadway Links Private Limited", "Rationale")</f>
        <v/>
      </c>
    </row>
    <row r="368">
      <c r="A368" s="0" t="s">
        <v>974</v>
      </c>
      <c r="B368" s="0" t="s">
        <v>975</v>
      </c>
      <c r="C368" s="0" t="s">
        <v>588</v>
      </c>
      <c r="D368" s="0">
        <f dt2D="0" dtr="0">HYPERLINK("https://www.icra.in/Rating/RatingDetails?CompanyId=0&amp;CompanyName=Bruhat Bengaluru Mahanagara Palike", "Rationale")</f>
        <v/>
      </c>
    </row>
    <row r="369">
      <c r="A369" s="0" t="s">
        <v>976</v>
      </c>
      <c r="B369" s="0" t="s">
        <v>977</v>
      </c>
      <c r="C369" s="0" t="s">
        <v>306</v>
      </c>
      <c r="D369" s="0">
        <f dt2D="0" dtr="0">HYPERLINK("https://www.icra.in/Rating/RatingDetails?CompanyId=0&amp;CompanyName=Buddha Sortex Rice Industries Private Limited", "Rationale")</f>
        <v/>
      </c>
    </row>
    <row r="370">
      <c r="A370" s="0" t="s">
        <v>978</v>
      </c>
      <c r="B370" s="0" t="s">
        <v>979</v>
      </c>
      <c r="C370" s="0" t="s">
        <v>980</v>
      </c>
      <c r="D370" s="0">
        <f dt2D="0" dtr="0">HYPERLINK("https://www.icra.in/Rating/RatingDetails?CompanyId=0&amp;CompanyName=Budding Brains International School (Bhagat Sucha Singh Ji Memorial Educational Society)", "Rationale")</f>
        <v/>
      </c>
    </row>
    <row r="371">
      <c r="A371" s="0" t="s">
        <v>981</v>
      </c>
      <c r="B371" s="0" t="s">
        <v>982</v>
      </c>
      <c r="C371" s="0" t="s">
        <v>983</v>
      </c>
      <c r="D371" s="0">
        <f dt2D="0" dtr="0">HYPERLINK("https://www.icra.in/Rating/RatingDetails?CompanyId=0&amp;CompanyName=Buds Tea Industries Limited", "Rationale")</f>
        <v/>
      </c>
    </row>
    <row r="372">
      <c r="A372" s="0" t="s">
        <v>984</v>
      </c>
      <c r="B372" s="0" t="s">
        <v>985</v>
      </c>
      <c r="C372" s="0" t="s">
        <v>986</v>
      </c>
      <c r="D372" s="0">
        <f dt2D="0" dtr="0">HYPERLINK("https://www.icra.in/Rating/RatingDetails?CompanyId=0&amp;CompanyName=Buildmet Private Limited", "Rationale")</f>
        <v/>
      </c>
    </row>
    <row r="373">
      <c r="A373" s="0" t="s">
        <v>987</v>
      </c>
      <c r="B373" s="0" t="s">
        <v>988</v>
      </c>
      <c r="C373" s="0" t="s">
        <v>989</v>
      </c>
      <c r="D373" s="0">
        <f dt2D="0" dtr="0">HYPERLINK("https://www.icra.in/Rating/RatingDetails?CompanyId=0&amp;CompanyName=Bundela Exports", "Rationale")</f>
        <v/>
      </c>
    </row>
    <row r="374">
      <c r="A374" s="0" t="s">
        <v>990</v>
      </c>
      <c r="B374" s="0" t="s">
        <v>991</v>
      </c>
      <c r="C374" s="0" t="s">
        <v>980</v>
      </c>
      <c r="D374" s="0">
        <f dt2D="0" dtr="0">HYPERLINK("https://www.icra.in/Rating/RatingDetails?CompanyId=0&amp;CompanyName=Burakia Steel &amp; Alloys", "Rationale")</f>
        <v/>
      </c>
    </row>
    <row r="375">
      <c r="A375" s="0" t="s">
        <v>992</v>
      </c>
      <c r="B375" s="0" t="s">
        <v>993</v>
      </c>
      <c r="C375" s="0" t="s">
        <v>994</v>
      </c>
      <c r="D375" s="0">
        <f dt2D="0" dtr="0">HYPERLINK("https://www.icra.in/Rating/RatingDetails?CompanyId=0&amp;CompanyName=BVL Granites", "Rationale")</f>
        <v/>
      </c>
    </row>
    <row r="376">
      <c r="A376" s="0" t="s">
        <v>995</v>
      </c>
      <c r="B376" s="0" t="s">
        <v>996</v>
      </c>
      <c r="C376" s="0" t="s">
        <v>997</v>
      </c>
      <c r="D376" s="0">
        <f dt2D="0" dtr="0">HYPERLINK("https://www.icra.in/Rating/RatingDetails?CompanyId=0&amp;CompanyName=Bvl Infrastructure Private Limited", "Rationale")</f>
        <v/>
      </c>
    </row>
    <row r="377">
      <c r="A377" s="0" t="s">
        <v>998</v>
      </c>
      <c r="B377" s="0" t="s">
        <v>999</v>
      </c>
      <c r="C377" s="0" t="s">
        <v>1000</v>
      </c>
      <c r="D377" s="0">
        <f dt2D="0" dtr="0">HYPERLINK("https://www.icra.in/Rating/RatingDetails?CompanyId=0&amp;CompanyName=Bydesign India Private Limited", "Rationale")</f>
        <v/>
      </c>
    </row>
    <row r="378">
      <c r="A378" s="0" t="s">
        <v>1001</v>
      </c>
      <c r="B378" s="0" t="s">
        <v>1002</v>
      </c>
      <c r="C378" s="0" t="s">
        <v>1003</v>
      </c>
      <c r="D378" s="0">
        <f dt2D="0" dtr="0">HYPERLINK("https://www.icra.in/Rating/RatingDetails?CompanyId=0&amp;CompanyName=C &amp; R Textiles (P) Ltd.", "Rationale")</f>
        <v/>
      </c>
    </row>
    <row r="379">
      <c r="A379" s="0" t="s">
        <v>1004</v>
      </c>
      <c r="B379" s="0" t="s">
        <v>1005</v>
      </c>
      <c r="C379" s="0" t="s">
        <v>1006</v>
      </c>
      <c r="D379" s="0">
        <f dt2D="0" dtr="0">HYPERLINK("https://www.icra.in/Rating/RatingDetails?CompanyId=0&amp;CompanyName=C Mahendra Infojewels Limited", "Rationale")</f>
        <v/>
      </c>
    </row>
    <row r="380">
      <c r="A380" s="0" t="s">
        <v>1007</v>
      </c>
      <c r="B380" s="0" t="s">
        <v>1008</v>
      </c>
      <c r="C380" s="0" t="s">
        <v>1009</v>
      </c>
      <c r="D380" s="0">
        <f dt2D="0" dtr="0">HYPERLINK("https://www.icra.in/Rating/RatingDetails?CompanyId=0&amp;CompanyName=C.G. Chandrappa", "Rationale")</f>
        <v/>
      </c>
    </row>
    <row r="381">
      <c r="A381" s="0" t="s">
        <v>1010</v>
      </c>
      <c r="B381" s="0" t="s">
        <v>1011</v>
      </c>
      <c r="C381" s="0" t="s">
        <v>71</v>
      </c>
      <c r="D381" s="0">
        <f dt2D="0" dtr="0">HYPERLINK("https://www.icra.in/Rating/RatingDetails?CompanyId=0&amp;CompanyName=Cairo International", "Rationale")</f>
        <v/>
      </c>
    </row>
    <row r="382">
      <c r="A382" s="0" t="s">
        <v>1012</v>
      </c>
      <c r="B382" s="0" t="s">
        <v>1013</v>
      </c>
      <c r="C382" s="0" t="s">
        <v>1014</v>
      </c>
      <c r="D382" s="0">
        <f dt2D="0" dtr="0">HYPERLINK("https://www.icra.in/Rating/RatingDetails?CompanyId=0&amp;CompanyName=Call Express Construction India Private Limited", "Rationale")</f>
        <v/>
      </c>
    </row>
    <row r="383">
      <c r="A383" s="0" t="s">
        <v>1015</v>
      </c>
      <c r="B383" s="0" t="s">
        <v>1016</v>
      </c>
      <c r="C383" s="0" t="s">
        <v>1017</v>
      </c>
      <c r="D383" s="0">
        <f dt2D="0" dtr="0">HYPERLINK("https://www.icra.in/Rating/RatingDetails?CompanyId=0&amp;CompanyName=Camellia Infrastructures", "Rationale")</f>
        <v/>
      </c>
    </row>
    <row r="384">
      <c r="A384" s="0" t="s">
        <v>1018</v>
      </c>
      <c r="B384" s="0" t="s">
        <v>1019</v>
      </c>
      <c r="C384" s="0" t="s">
        <v>1020</v>
      </c>
      <c r="D384" s="0">
        <f dt2D="0" dtr="0">HYPERLINK("https://www.icra.in/Rating/RatingDetails?CompanyId=0&amp;CompanyName=Candeur Constructions Private Limited", "Rationale")</f>
        <v/>
      </c>
    </row>
    <row r="385">
      <c r="A385" s="0" t="s">
        <v>1021</v>
      </c>
      <c r="B385" s="0" t="s">
        <v>1022</v>
      </c>
      <c r="C385" s="0" t="s">
        <v>1023</v>
      </c>
      <c r="D385" s="0">
        <f dt2D="0" dtr="0">HYPERLINK("https://www.icra.in/Rating/RatingDetails?CompanyId=0&amp;CompanyName=Canter Engineers Private Limited", "Rationale")</f>
        <v/>
      </c>
    </row>
    <row r="386">
      <c r="A386" s="0" t="s">
        <v>1024</v>
      </c>
      <c r="B386" s="0" t="s">
        <v>1025</v>
      </c>
      <c r="C386" s="0" t="s">
        <v>71</v>
      </c>
      <c r="D386" s="0">
        <f dt2D="0" dtr="0">HYPERLINK("https://www.icra.in/Rating/RatingDetails?CompanyId=0&amp;CompanyName=Capital Clothing Company", "Rationale")</f>
        <v/>
      </c>
    </row>
    <row r="387">
      <c r="A387" s="0" t="s">
        <v>1026</v>
      </c>
      <c r="B387" s="0" t="s">
        <v>1027</v>
      </c>
      <c r="C387" s="0" t="s">
        <v>71</v>
      </c>
      <c r="D387" s="0">
        <f dt2D="0" dtr="0">HYPERLINK("https://www.icra.in/Rating/RatingDetails?CompanyId=0&amp;CompanyName=Capital Steel Corporation", "Rationale")</f>
        <v/>
      </c>
    </row>
    <row r="388">
      <c r="A388" s="0" t="s">
        <v>1028</v>
      </c>
      <c r="B388" s="0" t="s">
        <v>1029</v>
      </c>
      <c r="C388" s="0" t="s">
        <v>1030</v>
      </c>
      <c r="D388" s="0">
        <f dt2D="0" dtr="0">HYPERLINK("https://www.icra.in/Rating/RatingDetails?CompanyId=0&amp;CompanyName=Capstone Ceramic (India) Llp", "Rationale")</f>
        <v/>
      </c>
    </row>
    <row r="389">
      <c r="A389" s="0" t="s">
        <v>1031</v>
      </c>
      <c r="B389" s="0" t="s">
        <v>1032</v>
      </c>
      <c r="C389" s="0" t="s">
        <v>50</v>
      </c>
      <c r="D389" s="0">
        <f dt2D="0" dtr="0">HYPERLINK("https://www.icra.in/Rating/RatingDetails?CompanyId=0&amp;CompanyName=Captab Biotec Unit - II", "Rationale")</f>
        <v/>
      </c>
    </row>
    <row r="390">
      <c r="A390" s="0" t="s">
        <v>1033</v>
      </c>
      <c r="B390" s="0" t="s">
        <v>1034</v>
      </c>
      <c r="C390" s="0" t="s">
        <v>1035</v>
      </c>
      <c r="D390" s="0">
        <f dt2D="0" dtr="0">HYPERLINK("https://www.icra.in/Rating/RatingDetails?CompanyId=0&amp;CompanyName=Carbon Edge Industries Limited", "Rationale")</f>
        <v/>
      </c>
    </row>
    <row r="391">
      <c r="A391" s="0" t="s">
        <v>1036</v>
      </c>
      <c r="B391" s="0" t="s">
        <v>1037</v>
      </c>
      <c r="C391" s="0" t="s">
        <v>1038</v>
      </c>
      <c r="D391" s="0">
        <f dt2D="0" dtr="0">HYPERLINK("https://www.icra.in/Rating/RatingDetails?CompanyId=0&amp;CompanyName=Carnival Soft Private Limited", "Rationale")</f>
        <v/>
      </c>
    </row>
    <row r="392">
      <c r="A392" s="0" t="s">
        <v>1039</v>
      </c>
      <c r="B392" s="0" t="s">
        <v>1040</v>
      </c>
      <c r="C392" s="0" t="s">
        <v>544</v>
      </c>
      <c r="D392" s="0">
        <f dt2D="0" dtr="0">HYPERLINK("https://www.icra.in/Rating/RatingDetails?CompanyId=0&amp;CompanyName=Carona Knit Wear", "Rationale")</f>
        <v/>
      </c>
    </row>
    <row r="393">
      <c r="A393" s="0" t="s">
        <v>1041</v>
      </c>
      <c r="B393" s="0" t="s">
        <v>1042</v>
      </c>
      <c r="C393" s="0" t="s">
        <v>100</v>
      </c>
      <c r="D393" s="0">
        <f dt2D="0" dtr="0">HYPERLINK("https://www.icra.in/Rating/RatingDetails?CompanyId=0&amp;CompanyName=Caspro Metal Industries Private Limited", "Rationale")</f>
        <v/>
      </c>
    </row>
    <row r="394">
      <c r="A394" s="0" t="s">
        <v>1043</v>
      </c>
      <c r="B394" s="0" t="s">
        <v>1044</v>
      </c>
      <c r="C394" s="0" t="s">
        <v>192</v>
      </c>
      <c r="D394" s="0">
        <f dt2D="0" dtr="0">HYPERLINK("https://www.icra.in/Rating/RatingDetails?CompanyId=0&amp;CompanyName=Castall Technologies Private Limited", "Rationale")</f>
        <v/>
      </c>
    </row>
    <row r="395">
      <c r="A395" s="0" t="s">
        <v>1045</v>
      </c>
      <c r="B395" s="0" t="s">
        <v>1046</v>
      </c>
      <c r="C395" s="0" t="s">
        <v>534</v>
      </c>
      <c r="D395" s="0">
        <f dt2D="0" dtr="0">HYPERLINK("https://www.icra.in/Rating/RatingDetails?CompanyId=0&amp;CompanyName=CDR Projects Private Limited", "Rationale")</f>
        <v/>
      </c>
    </row>
    <row r="396">
      <c r="A396" s="0" t="s">
        <v>1047</v>
      </c>
      <c r="B396" s="0" t="s">
        <v>1048</v>
      </c>
      <c r="C396" s="0" t="s">
        <v>1049</v>
      </c>
      <c r="D396" s="0">
        <f dt2D="0" dtr="0">HYPERLINK("https://www.icra.in/Rating/RatingDetails?CompanyId=0&amp;CompanyName=Celebi Delhi Cargo Terminal Management India Private Limited", "Rationale")</f>
        <v/>
      </c>
    </row>
    <row r="397">
      <c r="A397" s="0" t="s">
        <v>1050</v>
      </c>
      <c r="B397" s="0" t="s">
        <v>1051</v>
      </c>
      <c r="C397" s="0" t="s">
        <v>1052</v>
      </c>
      <c r="D397" s="0">
        <f dt2D="0" dtr="0">HYPERLINK("https://www.icra.in/Rating/RatingDetails?CompanyId=0&amp;CompanyName=Cenosphere India Pvt Ltd", "Rationale")</f>
        <v/>
      </c>
    </row>
    <row r="398">
      <c r="A398" s="0" t="s">
        <v>1053</v>
      </c>
      <c r="B398" s="0" t="s">
        <v>1054</v>
      </c>
      <c r="C398" s="0" t="s">
        <v>36</v>
      </c>
      <c r="D398" s="0">
        <f dt2D="0" dtr="0">HYPERLINK("https://www.icra.in/Rating/RatingDetails?CompanyId=0&amp;CompanyName=Centric Steel Limited", "Rationale")</f>
        <v/>
      </c>
    </row>
    <row r="399">
      <c r="A399" s="0" t="s">
        <v>1055</v>
      </c>
      <c r="B399" s="0" t="s">
        <v>1056</v>
      </c>
      <c r="C399" s="0" t="s">
        <v>391</v>
      </c>
      <c r="D399" s="0">
        <f dt2D="0" dtr="0">HYPERLINK("https://www.icra.in/Rating/RatingDetails?CompanyId=0&amp;CompanyName=Chadha Sugars &amp; Industries Limited", "Rationale")</f>
        <v/>
      </c>
    </row>
    <row r="400">
      <c r="A400" s="0" t="s">
        <v>1057</v>
      </c>
      <c r="B400" s="0" t="s">
        <v>1058</v>
      </c>
      <c r="C400" s="0" t="s">
        <v>1059</v>
      </c>
      <c r="D400" s="0">
        <f dt2D="0" dtr="0">HYPERLINK("https://www.icra.in/Rating/RatingDetails?CompanyId=0&amp;CompanyName=Chaitanya Chemicals", "Rationale")</f>
        <v/>
      </c>
    </row>
    <row r="401">
      <c r="A401" s="0" t="s">
        <v>1060</v>
      </c>
      <c r="B401" s="0" t="s">
        <v>1061</v>
      </c>
      <c r="C401" s="0" t="s">
        <v>1062</v>
      </c>
      <c r="D401" s="0">
        <f dt2D="0" dtr="0">HYPERLINK("https://www.icra.in/Rating/RatingDetails?CompanyId=0&amp;CompanyName=Chaitanya Enterprises", "Rationale")</f>
        <v/>
      </c>
    </row>
    <row r="402">
      <c r="A402" s="0" t="s">
        <v>1063</v>
      </c>
      <c r="B402" s="0" t="s">
        <v>1064</v>
      </c>
      <c r="C402" s="0" t="s">
        <v>528</v>
      </c>
      <c r="D402" s="0">
        <f dt2D="0" dtr="0">HYPERLINK("https://www.icra.in/Rating/RatingDetails?CompanyId=0&amp;CompanyName=Chalapathi Educational Society", "Rationale")</f>
        <v/>
      </c>
    </row>
    <row r="403">
      <c r="A403" s="0" t="s">
        <v>1065</v>
      </c>
      <c r="B403" s="0" t="s">
        <v>1066</v>
      </c>
      <c r="C403" s="0" t="s">
        <v>1067</v>
      </c>
      <c r="D403" s="0">
        <f dt2D="0" dtr="0">HYPERLINK("https://www.icra.in/Rating/RatingDetails?CompanyId=0&amp;CompanyName=Champion Commercial Company Limited", "Rationale")</f>
        <v/>
      </c>
    </row>
    <row r="404">
      <c r="A404" s="0" t="s">
        <v>1068</v>
      </c>
      <c r="B404" s="0" t="s">
        <v>1069</v>
      </c>
      <c r="C404" s="0" t="s">
        <v>402</v>
      </c>
      <c r="D404" s="0">
        <f dt2D="0" dtr="0">HYPERLINK("https://www.icra.in/Rating/RatingDetails?CompanyId=0&amp;CompanyName=Chandan Textiles", "Rationale")</f>
        <v/>
      </c>
    </row>
    <row r="405">
      <c r="A405" s="0" t="s">
        <v>1070</v>
      </c>
      <c r="B405" s="0" t="s">
        <v>1071</v>
      </c>
      <c r="C405" s="0" t="s">
        <v>1072</v>
      </c>
      <c r="D405" s="0">
        <f dt2D="0" dtr="0">HYPERLINK("https://www.icra.in/Rating/RatingDetails?CompanyId=0&amp;CompanyName=Chandan Trading Company Private Limited", "Rationale")</f>
        <v/>
      </c>
    </row>
    <row r="406">
      <c r="A406" s="0" t="s">
        <v>1073</v>
      </c>
      <c r="B406" s="0" t="s">
        <v>1074</v>
      </c>
      <c r="C406" s="0" t="s">
        <v>71</v>
      </c>
      <c r="D406" s="0">
        <f dt2D="0" dtr="0">HYPERLINK("https://www.icra.in/Rating/RatingDetails?CompanyId=0&amp;CompanyName=Chanderpur Works Private Limited", "Rationale")</f>
        <v/>
      </c>
    </row>
    <row r="407">
      <c r="A407" s="0" t="s">
        <v>1075</v>
      </c>
      <c r="B407" s="0" t="s">
        <v>1076</v>
      </c>
      <c r="C407" s="0" t="s">
        <v>773</v>
      </c>
      <c r="D407" s="0">
        <f dt2D="0" dtr="0">HYPERLINK("https://www.icra.in/Rating/RatingDetails?CompanyId=0&amp;CompanyName=Chanditala Blue Print", "Rationale")</f>
        <v/>
      </c>
    </row>
    <row r="408">
      <c r="A408" s="0" t="s">
        <v>1077</v>
      </c>
      <c r="B408" s="0" t="s">
        <v>1078</v>
      </c>
      <c r="C408" s="0" t="s">
        <v>1079</v>
      </c>
      <c r="D408" s="0">
        <f dt2D="0" dtr="0">HYPERLINK("https://www.icra.in/Rating/RatingDetails?CompanyId=0&amp;CompanyName=Chandralok Textile Industries Private Limited", "Rationale")</f>
        <v/>
      </c>
    </row>
    <row r="409">
      <c r="A409" s="0" t="s">
        <v>1080</v>
      </c>
      <c r="B409" s="0" t="s">
        <v>1081</v>
      </c>
      <c r="C409" s="0" t="s">
        <v>71</v>
      </c>
      <c r="D409" s="0">
        <f dt2D="0" dtr="0">HYPERLINK("https://www.icra.in/Rating/RatingDetails?CompanyId=0&amp;CompanyName=Chandri Paper &amp; Allied Products Private limited", "Rationale")</f>
        <v/>
      </c>
    </row>
    <row r="410">
      <c r="A410" s="0" t="s">
        <v>1082</v>
      </c>
      <c r="B410" s="0" t="s">
        <v>1083</v>
      </c>
      <c r="C410" s="0" t="s">
        <v>281</v>
      </c>
      <c r="D410" s="0">
        <f dt2D="0" dtr="0">HYPERLINK("https://www.icra.in/Rating/RatingDetails?CompanyId=0&amp;CompanyName=Chanvim Engineering (India) Private Limited", "Rationale")</f>
        <v/>
      </c>
    </row>
    <row r="411">
      <c r="A411" s="0" t="s">
        <v>1084</v>
      </c>
      <c r="B411" s="0" t="s">
        <v>1085</v>
      </c>
      <c r="C411" s="0" t="s">
        <v>744</v>
      </c>
      <c r="D411" s="0">
        <f dt2D="0" dtr="0">HYPERLINK("https://www.icra.in/Rating/RatingDetails?CompanyId=0&amp;CompanyName=Charoen Pokphand Seeds India Private Limited", "Rationale")</f>
        <v/>
      </c>
    </row>
    <row r="412">
      <c r="A412" s="0" t="s">
        <v>1086</v>
      </c>
      <c r="B412" s="0" t="s">
        <v>1087</v>
      </c>
      <c r="C412" s="0" t="s">
        <v>405</v>
      </c>
      <c r="D412" s="0">
        <f dt2D="0" dtr="0">HYPERLINK("https://www.icra.in/Rating/RatingDetails?CompanyId=0&amp;CompanyName=Chayagraphics Healthcare Private Limited", "Rationale")</f>
        <v/>
      </c>
    </row>
    <row r="413">
      <c r="A413" s="0" t="s">
        <v>1088</v>
      </c>
      <c r="B413" s="0" t="s">
        <v>1089</v>
      </c>
      <c r="C413" s="0" t="s">
        <v>1090</v>
      </c>
      <c r="D413" s="0">
        <f dt2D="0" dtr="0">HYPERLINK("https://www.icra.in/Rating/RatingDetails?CompanyId=0&amp;CompanyName=Cheema Spintex Limited", "Rationale")</f>
        <v/>
      </c>
    </row>
    <row r="414">
      <c r="A414" s="0" t="s">
        <v>1091</v>
      </c>
      <c r="B414" s="0" t="s">
        <v>1092</v>
      </c>
      <c r="C414" s="0" t="s">
        <v>1093</v>
      </c>
      <c r="D414" s="0">
        <f dt2D="0" dtr="0">HYPERLINK("https://www.icra.in/Rating/RatingDetails?CompanyId=0&amp;CompanyName=Chemiloids Life Sciences Pvt. Ltd.", "Rationale")</f>
        <v/>
      </c>
    </row>
    <row r="415">
      <c r="A415" s="0" t="s">
        <v>1094</v>
      </c>
      <c r="B415" s="0" t="s">
        <v>1095</v>
      </c>
      <c r="C415" s="0" t="s">
        <v>71</v>
      </c>
      <c r="D415" s="0">
        <f dt2D="0" dtr="0">HYPERLINK("https://www.icra.in/Rating/RatingDetails?CompanyId=0&amp;CompanyName=Chemtrade Overseas Private Limited", "Rationale")</f>
        <v/>
      </c>
    </row>
    <row r="416">
      <c r="A416" s="0" t="s">
        <v>1096</v>
      </c>
      <c r="B416" s="0" t="s">
        <v>1097</v>
      </c>
      <c r="C416" s="0" t="s">
        <v>1098</v>
      </c>
      <c r="D416" s="0">
        <f dt2D="0" dtr="0">HYPERLINK("https://www.icra.in/Rating/RatingDetails?CompanyId=0&amp;CompanyName=Chennai Textiles", "Rationale")</f>
        <v/>
      </c>
    </row>
    <row r="417">
      <c r="A417" s="0" t="s">
        <v>1099</v>
      </c>
      <c r="B417" s="0" t="s">
        <v>1100</v>
      </c>
      <c r="C417" s="0" t="s">
        <v>1101</v>
      </c>
      <c r="D417" s="0">
        <f dt2D="0" dtr="0">HYPERLINK("https://www.icra.in/Rating/RatingDetails?CompanyId=0&amp;CompanyName=Chevrox Constructions Pvt. Ltd.", "Rationale")</f>
        <v/>
      </c>
    </row>
    <row r="418">
      <c r="A418" s="0" t="s">
        <v>1102</v>
      </c>
      <c r="B418" s="0" t="s">
        <v>1103</v>
      </c>
      <c r="C418" s="0" t="s">
        <v>1104</v>
      </c>
      <c r="D418" s="0">
        <f dt2D="0" dtr="0">HYPERLINK("https://www.icra.in/Rating/RatingDetails?CompanyId=0&amp;CompanyName=Chhapra Hajipur Expressways Limited", "Rationale")</f>
        <v/>
      </c>
    </row>
    <row r="419">
      <c r="A419" s="0" t="s">
        <v>1105</v>
      </c>
      <c r="B419" s="0" t="s">
        <v>1106</v>
      </c>
      <c r="C419" s="0" t="s">
        <v>74</v>
      </c>
      <c r="D419" s="0">
        <f dt2D="0" dtr="0">HYPERLINK("https://www.icra.in/Rating/RatingDetails?CompanyId=0&amp;CompanyName=Chhatrapati Sambhaji Raje Sakhar Udyog Limited", "Rationale")</f>
        <v/>
      </c>
    </row>
    <row r="420">
      <c r="A420" s="0" t="s">
        <v>1107</v>
      </c>
      <c r="B420" s="0" t="s">
        <v>1108</v>
      </c>
      <c r="C420" s="0" t="s">
        <v>670</v>
      </c>
      <c r="D420" s="0">
        <f dt2D="0" dtr="0">HYPERLINK("https://www.icra.in/Rating/RatingDetails?CompanyId=0&amp;CompanyName=Chheda Electricals And Electronics Pvt. Ltd.", "Rationale")</f>
        <v/>
      </c>
    </row>
    <row r="421">
      <c r="A421" s="0" t="s">
        <v>1109</v>
      </c>
      <c r="B421" s="0" t="s">
        <v>1110</v>
      </c>
      <c r="C421" s="0" t="s">
        <v>1111</v>
      </c>
      <c r="D421" s="0">
        <f dt2D="0" dtr="0">HYPERLINK("https://www.icra.in/Rating/RatingDetails?CompanyId=0&amp;CompanyName=Chidambaram Shipcare Private Limited", "Rationale")</f>
        <v/>
      </c>
    </row>
    <row r="422">
      <c r="A422" s="0" t="s">
        <v>1112</v>
      </c>
      <c r="B422" s="0" t="s">
        <v>1113</v>
      </c>
      <c r="C422" s="0" t="s">
        <v>885</v>
      </c>
      <c r="D422" s="0">
        <f dt2D="0" dtr="0">HYPERLINK("https://www.icra.in/Rating/RatingDetails?CompanyId=0&amp;CompanyName=Chilakalurupet Municipality", "Rationale")</f>
        <v/>
      </c>
    </row>
    <row r="423">
      <c r="A423" s="0" t="s">
        <v>1114</v>
      </c>
      <c r="B423" s="0" t="s">
        <v>1115</v>
      </c>
      <c r="C423" s="0" t="s">
        <v>1116</v>
      </c>
      <c r="D423" s="0">
        <f dt2D="0" dtr="0">HYPERLINK("https://www.icra.in/Rating/RatingDetails?CompanyId=0&amp;CompanyName=Chintamani Gems &amp; Jewellery Private Limited", "Rationale")</f>
        <v/>
      </c>
    </row>
    <row r="424">
      <c r="A424" s="0" t="s">
        <v>1117</v>
      </c>
      <c r="B424" s="0" t="s">
        <v>1118</v>
      </c>
      <c r="C424" s="0" t="s">
        <v>71</v>
      </c>
      <c r="D424" s="0">
        <f dt2D="0" dtr="0">HYPERLINK("https://www.icra.in/Rating/RatingDetails?CompanyId=0&amp;CompanyName=Chintamanis Jewellery Arcade Pvt. Ltd.", "Rationale")</f>
        <v/>
      </c>
    </row>
    <row r="425">
      <c r="A425" s="0" t="s">
        <v>1119</v>
      </c>
      <c r="B425" s="0" t="s">
        <v>1120</v>
      </c>
      <c r="C425" s="0" t="s">
        <v>343</v>
      </c>
      <c r="D425" s="0">
        <f dt2D="0" dtr="0">HYPERLINK("https://www.icra.in/Rating/RatingDetails?CompanyId=0&amp;CompanyName=Chirag Agrofins Private Limited", "Rationale")</f>
        <v/>
      </c>
    </row>
    <row r="426">
      <c r="A426" s="0" t="s">
        <v>1121</v>
      </c>
      <c r="B426" s="0" t="s">
        <v>1122</v>
      </c>
      <c r="C426" s="0" t="s">
        <v>1123</v>
      </c>
      <c r="D426" s="0">
        <f dt2D="0" dtr="0">HYPERLINK("https://www.icra.in/Rating/RatingDetails?CompanyId=0&amp;CompanyName=Chirayu Charitable Foundation", "Rationale")</f>
        <v/>
      </c>
    </row>
    <row r="427">
      <c r="A427" s="0" t="s">
        <v>1124</v>
      </c>
      <c r="B427" s="0" t="s">
        <v>1125</v>
      </c>
      <c r="C427" s="0" t="s">
        <v>439</v>
      </c>
      <c r="D427" s="0">
        <f dt2D="0" dtr="0">HYPERLINK("https://www.icra.in/Rating/RatingDetails?CompanyId=0&amp;CompanyName=Chorus Labs Limited", "Rationale")</f>
        <v/>
      </c>
    </row>
    <row r="428">
      <c r="A428" s="0" t="s">
        <v>1126</v>
      </c>
      <c r="B428" s="0" t="s">
        <v>1127</v>
      </c>
      <c r="C428" s="0" t="s">
        <v>1128</v>
      </c>
      <c r="D428" s="0">
        <f dt2D="0" dtr="0">HYPERLINK("https://www.icra.in/Rating/RatingDetails?CompanyId=0&amp;CompanyName=Chotta Shimla Projects Pvt. Ltd.", "Rationale")</f>
        <v/>
      </c>
    </row>
    <row r="429">
      <c r="A429" s="0" t="s">
        <v>1129</v>
      </c>
      <c r="B429" s="0" t="s">
        <v>1130</v>
      </c>
      <c r="C429" s="0" t="s">
        <v>1131</v>
      </c>
      <c r="D429" s="0">
        <f dt2D="0" dtr="0">HYPERLINK("https://www.icra.in/Rating/RatingDetails?CompanyId=0&amp;CompanyName=Choudhary Gum and Derivatives", "Rationale")</f>
        <v/>
      </c>
    </row>
    <row r="430">
      <c r="A430" s="0" t="s">
        <v>1132</v>
      </c>
      <c r="B430" s="0" t="s">
        <v>1133</v>
      </c>
      <c r="C430" s="0" t="s">
        <v>517</v>
      </c>
      <c r="D430" s="0">
        <f dt2D="0" dtr="0">HYPERLINK("https://www.icra.in/Rating/RatingDetails?CompanyId=0&amp;CompanyName=CHVV Subba Rao", "Rationale")</f>
        <v/>
      </c>
    </row>
    <row r="431">
      <c r="A431" s="0" t="s">
        <v>1134</v>
      </c>
      <c r="B431" s="0" t="s">
        <v>1135</v>
      </c>
      <c r="C431" s="0" t="s">
        <v>1136</v>
      </c>
      <c r="D431" s="0">
        <f dt2D="0" dtr="0">HYPERLINK("https://www.icra.in/Rating/RatingDetails?CompanyId=0&amp;CompanyName=Cicb-Chemicon Pvt Ltd", "Rationale")</f>
        <v/>
      </c>
    </row>
    <row r="432">
      <c r="A432" s="0" t="s">
        <v>1137</v>
      </c>
      <c r="B432" s="0" t="s">
        <v>1138</v>
      </c>
      <c r="C432" s="0" t="s">
        <v>262</v>
      </c>
      <c r="D432" s="0">
        <f dt2D="0" dtr="0">HYPERLINK("https://www.icra.in/Rating/RatingDetails?CompanyId=0&amp;CompanyName=Ciemme Jewels Limited", "Rationale")</f>
        <v/>
      </c>
    </row>
    <row r="433">
      <c r="A433" s="0" t="s">
        <v>1139</v>
      </c>
      <c r="B433" s="0" t="s">
        <v>1140</v>
      </c>
      <c r="C433" s="0" t="s">
        <v>706</v>
      </c>
      <c r="D433" s="0">
        <f dt2D="0" dtr="0">HYPERLINK("https://www.icra.in/Rating/RatingDetails?CompanyId=0&amp;CompanyName=Cigora Exim Private Limited", "Rationale")</f>
        <v/>
      </c>
    </row>
    <row r="434">
      <c r="A434" s="0" t="s">
        <v>1141</v>
      </c>
      <c r="B434" s="0" t="s">
        <v>1142</v>
      </c>
      <c r="C434" s="0" t="s">
        <v>1143</v>
      </c>
      <c r="D434" s="0">
        <f dt2D="0" dtr="0">HYPERLINK("https://www.icra.in/Rating/RatingDetails?CompanyId=0&amp;CompanyName=Citizen Cars", "Rationale")</f>
        <v/>
      </c>
    </row>
    <row r="435">
      <c r="A435" s="0" t="s">
        <v>1144</v>
      </c>
      <c r="B435" s="0" t="s">
        <v>1145</v>
      </c>
      <c r="C435" s="0" t="s">
        <v>27</v>
      </c>
      <c r="D435" s="0">
        <f dt2D="0" dtr="0">HYPERLINK("https://www.icra.in/Rating/RatingDetails?CompanyId=0&amp;CompanyName=Citrus Alpha Marine LLP", "Rationale")</f>
        <v/>
      </c>
    </row>
    <row r="436">
      <c r="A436" s="0" t="s">
        <v>1146</v>
      </c>
      <c r="B436" s="0" t="s">
        <v>1147</v>
      </c>
      <c r="C436" s="0" t="s">
        <v>1148</v>
      </c>
      <c r="D436" s="0">
        <f dt2D="0" dtr="0">HYPERLINK("https://www.icra.in/Rating/RatingDetails?CompanyId=0&amp;CompanyName=City Tiles Limited", "Rationale")</f>
        <v/>
      </c>
    </row>
    <row r="437">
      <c r="A437" s="0" t="s">
        <v>1149</v>
      </c>
      <c r="B437" s="0" t="s">
        <v>1150</v>
      </c>
      <c r="C437" s="0" t="s">
        <v>1151</v>
      </c>
      <c r="D437" s="0">
        <f dt2D="0" dtr="0">HYPERLINK("https://www.icra.in/Rating/RatingDetails?CompanyId=0&amp;CompanyName=Classic Corrugations Private Limited", "Rationale")</f>
        <v/>
      </c>
    </row>
    <row r="438">
      <c r="A438" s="0" t="s">
        <v>1152</v>
      </c>
      <c r="B438" s="0" t="s">
        <v>1153</v>
      </c>
      <c r="C438" s="0" t="s">
        <v>211</v>
      </c>
      <c r="D438" s="0">
        <f dt2D="0" dtr="0">HYPERLINK("https://www.icra.in/Rating/RatingDetails?CompanyId=0&amp;CompanyName=Classic Cotton Private Limited", "Rationale")</f>
        <v/>
      </c>
    </row>
    <row r="439">
      <c r="A439" s="0" t="s">
        <v>1154</v>
      </c>
      <c r="B439" s="0" t="s">
        <v>1155</v>
      </c>
      <c r="C439" s="0" t="s">
        <v>346</v>
      </c>
      <c r="D439" s="0">
        <f dt2D="0" dtr="0">HYPERLINK("https://www.icra.in/Rating/RatingDetails?CompanyId=0&amp;CompanyName=Classic Display Systems Pvt. Ltd.", "Rationale")</f>
        <v/>
      </c>
    </row>
    <row r="440">
      <c r="A440" s="0" t="s">
        <v>1156</v>
      </c>
      <c r="B440" s="0" t="s">
        <v>1157</v>
      </c>
      <c r="C440" s="0" t="s">
        <v>1158</v>
      </c>
      <c r="D440" s="0">
        <f dt2D="0" dtr="0">HYPERLINK("https://www.icra.in/Rating/RatingDetails?CompanyId=0&amp;CompanyName=Classic Enterprises Limited", "Rationale")</f>
        <v/>
      </c>
    </row>
    <row r="441">
      <c r="A441" s="0" t="s">
        <v>1159</v>
      </c>
      <c r="B441" s="0" t="s">
        <v>1160</v>
      </c>
      <c r="C441" s="0" t="s">
        <v>247</v>
      </c>
      <c r="D441" s="0">
        <f dt2D="0" dtr="0">HYPERLINK("https://www.icra.in/Rating/RatingDetails?CompanyId=0&amp;CompanyName=Classic Microtech Private Limited", "Rationale")</f>
        <v/>
      </c>
    </row>
    <row r="442">
      <c r="A442" s="0" t="s">
        <v>1161</v>
      </c>
      <c r="B442" s="0" t="s">
        <v>1162</v>
      </c>
      <c r="C442" s="0" t="s">
        <v>958</v>
      </c>
      <c r="D442" s="0">
        <f dt2D="0" dtr="0">HYPERLINK("https://www.icra.in/Rating/RatingDetails?CompanyId=0&amp;CompanyName=Claystone Granito Pvt. Ltd.", "Rationale")</f>
        <v/>
      </c>
    </row>
    <row r="443">
      <c r="A443" s="0" t="s">
        <v>1163</v>
      </c>
      <c r="B443" s="0" t="s">
        <v>1164</v>
      </c>
      <c r="C443" s="0" t="s">
        <v>183</v>
      </c>
      <c r="D443" s="0">
        <f dt2D="0" dtr="0">HYPERLINK("https://www.icra.in/Rating/RatingDetails?CompanyId=0&amp;CompanyName=Clean Coal Enterprises Pvt. Ltd.", "Rationale")</f>
        <v/>
      </c>
    </row>
    <row r="444">
      <c r="A444" s="0" t="s">
        <v>1165</v>
      </c>
      <c r="B444" s="0" t="s">
        <v>1166</v>
      </c>
      <c r="C444" s="0" t="s">
        <v>1167</v>
      </c>
      <c r="D444" s="0">
        <f dt2D="0" dtr="0">HYPERLINK("https://www.icra.in/Rating/RatingDetails?CompanyId=0&amp;CompanyName=Cloudtail India Pvt Ltd", "Rationale")</f>
        <v/>
      </c>
    </row>
    <row r="445">
      <c r="A445" s="0" t="s">
        <v>1168</v>
      </c>
      <c r="B445" s="0" t="s">
        <v>1169</v>
      </c>
      <c r="C445" s="0" t="s">
        <v>183</v>
      </c>
      <c r="D445" s="0">
        <f dt2D="0" dtr="0">HYPERLINK("https://www.icra.in/Rating/RatingDetails?CompanyId=0&amp;CompanyName=CMC Commutator Private Limited", "Rationale")</f>
        <v/>
      </c>
    </row>
    <row r="446">
      <c r="A446" s="0" t="s">
        <v>1170</v>
      </c>
      <c r="B446" s="0" t="s">
        <v>1171</v>
      </c>
      <c r="C446" s="0" t="s">
        <v>994</v>
      </c>
      <c r="D446" s="0">
        <f dt2D="0" dtr="0">HYPERLINK("https://www.icra.in/Rating/RatingDetails?CompanyId=0&amp;CompanyName=Coastal Consolidated Structures Pvt. Ltd", "Rationale")</f>
        <v/>
      </c>
    </row>
    <row r="447">
      <c r="A447" s="0" t="s">
        <v>1172</v>
      </c>
      <c r="B447" s="0" t="s">
        <v>1173</v>
      </c>
      <c r="C447" s="0" t="s">
        <v>1174</v>
      </c>
      <c r="D447" s="0">
        <f dt2D="0" dtr="0">HYPERLINK("https://www.icra.in/Rating/RatingDetails?CompanyId=0&amp;CompanyName=Coastal Energen Private Limited", "Rationale")</f>
        <v/>
      </c>
    </row>
    <row r="448">
      <c r="A448" s="0" t="s">
        <v>1175</v>
      </c>
      <c r="B448" s="0" t="s">
        <v>1176</v>
      </c>
      <c r="C448" s="0" t="s">
        <v>1177</v>
      </c>
      <c r="D448" s="0">
        <f dt2D="0" dtr="0">HYPERLINK("https://www.icra.in/Rating/RatingDetails?CompanyId=0&amp;CompanyName=Coastal Energy Private Limited", "Rationale")</f>
        <v/>
      </c>
    </row>
    <row r="449">
      <c r="A449" s="0" t="s">
        <v>1178</v>
      </c>
      <c r="B449" s="0" t="s">
        <v>1179</v>
      </c>
      <c r="C449" s="0" t="s">
        <v>71</v>
      </c>
      <c r="D449" s="0">
        <f dt2D="0" dtr="0">HYPERLINK("https://www.icra.in/Rating/RatingDetails?CompanyId=0&amp;CompanyName=Coatings And Coatings (India) Private Limited", "Rationale")</f>
        <v/>
      </c>
    </row>
    <row r="450">
      <c r="A450" s="0" t="s">
        <v>1180</v>
      </c>
      <c r="B450" s="0" t="s">
        <v>1181</v>
      </c>
      <c r="C450" s="0" t="s">
        <v>1182</v>
      </c>
      <c r="D450" s="0">
        <f dt2D="0" dtr="0">HYPERLINK("https://www.icra.in/Rating/RatingDetails?CompanyId=0&amp;CompanyName=Cochin Bridge Infrastructure Company Limited", "Rationale")</f>
        <v/>
      </c>
    </row>
    <row r="451">
      <c r="A451" s="0" t="s">
        <v>1183</v>
      </c>
      <c r="B451" s="0" t="s">
        <v>1184</v>
      </c>
      <c r="C451" s="0" t="s">
        <v>106</v>
      </c>
      <c r="D451" s="0">
        <f dt2D="0" dtr="0">HYPERLINK("https://www.icra.in/Rating/RatingDetails?CompanyId=0&amp;CompanyName=Cochin Surfactants Private Limited", "Rationale")</f>
        <v/>
      </c>
    </row>
    <row r="452">
      <c r="A452" s="0" t="s">
        <v>1185</v>
      </c>
      <c r="B452" s="0" t="s">
        <v>1186</v>
      </c>
      <c r="C452" s="0" t="s">
        <v>564</v>
      </c>
      <c r="D452" s="0">
        <f dt2D="0" dtr="0">HYPERLINK("https://www.icra.in/Rating/RatingDetails?CompanyId=0&amp;CompanyName=Coffee Day Enterprises Limited", "Rationale")</f>
        <v/>
      </c>
    </row>
    <row r="453">
      <c r="A453" s="0" t="s">
        <v>1187</v>
      </c>
      <c r="B453" s="0" t="s">
        <v>1188</v>
      </c>
      <c r="C453" s="0" t="s">
        <v>1189</v>
      </c>
      <c r="D453" s="0">
        <f dt2D="0" dtr="0">HYPERLINK("https://www.icra.in/Rating/RatingDetails?CompanyId=0&amp;CompanyName=Coirfoam India Private Limited", "Rationale")</f>
        <v/>
      </c>
    </row>
    <row r="454">
      <c r="A454" s="0" t="s">
        <v>1190</v>
      </c>
      <c r="B454" s="0" t="s">
        <v>1191</v>
      </c>
      <c r="C454" s="0" t="s">
        <v>1192</v>
      </c>
      <c r="D454" s="0">
        <f dt2D="0" dtr="0">HYPERLINK("https://www.icra.in/Rating/RatingDetails?CompanyId=0&amp;CompanyName=Colossus Trade Links Ltd.", "Rationale")</f>
        <v/>
      </c>
    </row>
    <row r="455">
      <c r="A455" s="0" t="s">
        <v>1193</v>
      </c>
      <c r="B455" s="0" t="s">
        <v>1194</v>
      </c>
      <c r="C455" s="0" t="s">
        <v>1195</v>
      </c>
      <c r="D455" s="0">
        <f dt2D="0" dtr="0">HYPERLINK("https://www.icra.in/Rating/RatingDetails?CompanyId=0&amp;CompanyName=Commercial Automobiles Private Limited", "Rationale")</f>
        <v/>
      </c>
    </row>
    <row r="456">
      <c r="A456" s="0" t="s">
        <v>1196</v>
      </c>
      <c r="B456" s="0" t="s">
        <v>1197</v>
      </c>
      <c r="C456" s="0" t="s">
        <v>1198</v>
      </c>
      <c r="D456" s="0">
        <f dt2D="0" dtr="0">HYPERLINK("https://www.icra.in/Rating/RatingDetails?CompanyId=0&amp;CompanyName=Consolidated Construction Consortium Limited", "Rationale")</f>
        <v/>
      </c>
    </row>
    <row r="457">
      <c r="A457" s="0" t="s">
        <v>1199</v>
      </c>
      <c r="B457" s="0" t="s">
        <v>1200</v>
      </c>
      <c r="C457" s="0" t="s">
        <v>1201</v>
      </c>
      <c r="D457" s="0">
        <f dt2D="0" dtr="0">HYPERLINK("https://www.icra.in/Rating/RatingDetails?CompanyId=0&amp;CompanyName=Cooch Behar Mission Hospital (P) Ltd.", "Rationale")</f>
        <v/>
      </c>
    </row>
    <row r="458">
      <c r="A458" s="0" t="s">
        <v>1202</v>
      </c>
      <c r="B458" s="0" t="s">
        <v>1203</v>
      </c>
      <c r="C458" s="0" t="s">
        <v>734</v>
      </c>
      <c r="D458" s="0">
        <f dt2D="0" dtr="0">HYPERLINK("https://www.icra.in/Rating/RatingDetails?CompanyId=0&amp;CompanyName=Coochbehar Agro Tea Estates Pvt. Ltd.", "Rationale")</f>
        <v/>
      </c>
    </row>
    <row r="459">
      <c r="A459" s="0" t="s">
        <v>1204</v>
      </c>
      <c r="B459" s="0" t="s">
        <v>1205</v>
      </c>
      <c r="C459" s="0" t="s">
        <v>1206</v>
      </c>
      <c r="D459" s="0">
        <f dt2D="0" dtr="0">HYPERLINK("https://www.icra.in/Rating/RatingDetails?CompanyId=0&amp;CompanyName=Cooldeck Industries Private Limited", "Rationale")</f>
        <v/>
      </c>
    </row>
    <row r="460">
      <c r="A460" s="0" t="s">
        <v>1207</v>
      </c>
      <c r="B460" s="0" t="s">
        <v>1208</v>
      </c>
      <c r="C460" s="0" t="s">
        <v>1209</v>
      </c>
      <c r="D460" s="0">
        <f dt2D="0" dtr="0">HYPERLINK("https://www.icra.in/Rating/RatingDetails?CompanyId=0&amp;CompanyName=Cooper-Standard India Pvt. Ltd.", "Rationale")</f>
        <v/>
      </c>
    </row>
    <row r="461">
      <c r="A461" s="0" t="s">
        <v>1210</v>
      </c>
      <c r="B461" s="0" t="s">
        <v>1211</v>
      </c>
      <c r="C461" s="0" t="s">
        <v>1212</v>
      </c>
      <c r="D461" s="0">
        <f dt2D="0" dtr="0">HYPERLINK("https://www.icra.in/Rating/RatingDetails?CompanyId=0&amp;CompanyName=Cornerstone Property Investments Pvt. Ltd.", "Rationale")</f>
        <v/>
      </c>
    </row>
    <row r="462">
      <c r="A462" s="0" t="s">
        <v>1213</v>
      </c>
      <c r="B462" s="0" t="s">
        <v>1214</v>
      </c>
      <c r="C462" s="0" t="s">
        <v>71</v>
      </c>
      <c r="D462" s="0">
        <f dt2D="0" dtr="0">HYPERLINK("https://www.icra.in/Rating/RatingDetails?CompanyId=0&amp;CompanyName=Corona Vitrified Private Limited", "Rationale")</f>
        <v/>
      </c>
    </row>
    <row r="463">
      <c r="A463" s="0" t="s">
        <v>1215</v>
      </c>
      <c r="B463" s="0" t="s">
        <v>1216</v>
      </c>
      <c r="C463" s="0" t="s">
        <v>1009</v>
      </c>
      <c r="D463" s="0">
        <f dt2D="0" dtr="0">HYPERLINK("https://www.icra.in/Rating/RatingDetails?CompanyId=0&amp;CompanyName=Cosmos Jewellers Private Limited", "Rationale")</f>
        <v/>
      </c>
    </row>
    <row r="464">
      <c r="A464" s="0" t="s">
        <v>1217</v>
      </c>
      <c r="B464" s="0" t="s">
        <v>1218</v>
      </c>
      <c r="C464" s="0" t="s">
        <v>1219</v>
      </c>
      <c r="D464" s="0">
        <f dt2D="0" dtr="0">HYPERLINK("https://www.icra.in/Rating/RatingDetails?CompanyId=0&amp;CompanyName=Country Club Hospitality and Holidays Limited (Formerly Country Club (India) Limited)", "Rationale")</f>
        <v/>
      </c>
    </row>
    <row r="465">
      <c r="A465" s="0" t="s">
        <v>1220</v>
      </c>
      <c r="B465" s="0" t="s">
        <v>1221</v>
      </c>
      <c r="C465" s="0" t="s">
        <v>1222</v>
      </c>
      <c r="D465" s="0">
        <f dt2D="0" dtr="0">HYPERLINK("https://www.icra.in/Rating/RatingDetails?CompanyId=0&amp;CompanyName=Creations Jewellery Manufacturing Private Limited", "Rationale")</f>
        <v/>
      </c>
    </row>
    <row r="466">
      <c r="A466" s="0" t="s">
        <v>1223</v>
      </c>
      <c r="B466" s="0" t="s">
        <v>1224</v>
      </c>
      <c r="C466" s="0" t="s">
        <v>1225</v>
      </c>
      <c r="D466" s="0">
        <f dt2D="0" dtr="0">HYPERLINK("https://www.icra.in/Rating/RatingDetails?CompanyId=0&amp;CompanyName=Creative Credit Co-operative Society Limited", "Rationale")</f>
        <v/>
      </c>
    </row>
    <row r="467">
      <c r="A467" s="0" t="s">
        <v>1226</v>
      </c>
      <c r="B467" s="0" t="s">
        <v>1227</v>
      </c>
      <c r="C467" s="0" t="s">
        <v>1228</v>
      </c>
      <c r="D467" s="0">
        <f dt2D="0" dtr="0">HYPERLINK("https://www.icra.in/Rating/RatingDetails?CompanyId=0&amp;CompanyName=Creative Tannery Limited", "Rationale")</f>
        <v/>
      </c>
    </row>
    <row r="468">
      <c r="A468" s="0" t="s">
        <v>1229</v>
      </c>
      <c r="B468" s="0" t="s">
        <v>1230</v>
      </c>
      <c r="C468" s="0" t="s">
        <v>1231</v>
      </c>
      <c r="D468" s="0">
        <f dt2D="0" dtr="0">HYPERLINK("https://www.icra.in/Rating/RatingDetails?CompanyId=0&amp;CompanyName=Crevita Granito Pvt. Ltd.", "Rationale")</f>
        <v/>
      </c>
    </row>
    <row r="469">
      <c r="A469" s="0" t="s">
        <v>1232</v>
      </c>
      <c r="B469" s="0" t="s">
        <v>1233</v>
      </c>
      <c r="C469" s="0" t="s">
        <v>1234</v>
      </c>
      <c r="D469" s="0">
        <f dt2D="0" dtr="0">HYPERLINK("https://www.icra.in/Rating/RatingDetails?CompanyId=0&amp;CompanyName=Crown Promoters and Developers", "Rationale")</f>
        <v/>
      </c>
    </row>
    <row r="470">
      <c r="A470" s="0" t="s">
        <v>1235</v>
      </c>
      <c r="B470" s="0" t="s">
        <v>1236</v>
      </c>
      <c r="C470" s="0" t="s">
        <v>311</v>
      </c>
      <c r="D470" s="0">
        <f dt2D="0" dtr="0">HYPERLINK("https://www.icra.in/Rating/RatingDetails?CompanyId=0&amp;CompanyName=Crystal Ceramic Industries Limited", "Rationale")</f>
        <v/>
      </c>
    </row>
    <row r="471">
      <c r="A471" s="0" t="s">
        <v>1237</v>
      </c>
      <c r="B471" s="0" t="s">
        <v>1238</v>
      </c>
      <c r="C471" s="0" t="s">
        <v>405</v>
      </c>
      <c r="D471" s="0">
        <f dt2D="0" dtr="0">HYPERLINK("https://www.icra.in/Rating/RatingDetails?CompanyId=0&amp;CompanyName=Cygnus Equipments and Rentals Private Limited", "Rationale")</f>
        <v/>
      </c>
    </row>
    <row r="472">
      <c r="A472" s="0" t="s">
        <v>1239</v>
      </c>
      <c r="B472" s="0" t="s">
        <v>1240</v>
      </c>
      <c r="C472" s="0" t="s">
        <v>1148</v>
      </c>
      <c r="D472" s="0">
        <f dt2D="0" dtr="0">HYPERLINK("https://www.icra.in/Rating/RatingDetails?CompanyId=0&amp;CompanyName=Cygnus Splendid Limited", "Rationale")</f>
        <v/>
      </c>
    </row>
    <row r="473">
      <c r="A473" s="0" t="s">
        <v>1241</v>
      </c>
      <c r="B473" s="0" t="s">
        <v>1242</v>
      </c>
      <c r="C473" s="0" t="s">
        <v>427</v>
      </c>
      <c r="D473" s="0">
        <f dt2D="0" dtr="0">HYPERLINK("https://www.icra.in/Rating/RatingDetails?CompanyId=0&amp;CompanyName=D C Metals", "Rationale")</f>
        <v/>
      </c>
    </row>
    <row r="474">
      <c r="A474" s="0" t="s">
        <v>1243</v>
      </c>
      <c r="B474" s="0" t="s">
        <v>1244</v>
      </c>
      <c r="C474" s="0" t="s">
        <v>1245</v>
      </c>
      <c r="D474" s="0">
        <f dt2D="0" dtr="0">HYPERLINK("https://www.icra.in/Rating/RatingDetails?CompanyId=0&amp;CompanyName=D P Jain TOT Toll Roads Private Limited", "Rationale")</f>
        <v/>
      </c>
    </row>
    <row r="475">
      <c r="A475" s="0" t="s">
        <v>1246</v>
      </c>
      <c r="B475" s="0" t="s">
        <v>1247</v>
      </c>
      <c r="C475" s="0" t="s">
        <v>1248</v>
      </c>
      <c r="D475" s="0">
        <f dt2D="0" dtr="0">HYPERLINK("https://www.icra.in/Rating/RatingDetails?CompanyId=0&amp;CompanyName=D. S. Developers", "Rationale")</f>
        <v/>
      </c>
    </row>
    <row r="476">
      <c r="A476" s="0" t="s">
        <v>1249</v>
      </c>
      <c r="B476" s="0" t="s">
        <v>1250</v>
      </c>
      <c r="C476" s="0" t="s">
        <v>1251</v>
      </c>
      <c r="D476" s="0">
        <f dt2D="0" dtr="0">HYPERLINK("https://www.icra.in/Rating/RatingDetails?CompanyId=0&amp;CompanyName=D.B. Machine Tools Private Limited", "Rationale")</f>
        <v/>
      </c>
    </row>
    <row r="477">
      <c r="A477" s="0" t="s">
        <v>1252</v>
      </c>
      <c r="B477" s="0" t="s">
        <v>1253</v>
      </c>
      <c r="C477" s="0" t="s">
        <v>1131</v>
      </c>
      <c r="D477" s="0">
        <f dt2D="0" dtr="0">HYPERLINK("https://www.icra.in/Rating/RatingDetails?CompanyId=0&amp;CompanyName=D.D.R &amp; Co.", "Rationale")</f>
        <v/>
      </c>
    </row>
    <row r="478">
      <c r="A478" s="0" t="s">
        <v>1254</v>
      </c>
      <c r="B478" s="0" t="s">
        <v>1255</v>
      </c>
      <c r="C478" s="0" t="s">
        <v>71</v>
      </c>
      <c r="D478" s="0">
        <f dt2D="0" dtr="0">HYPERLINK("https://www.icra.in/Rating/RatingDetails?CompanyId=0&amp;CompanyName=D.M Cotton Industries", "Rationale")</f>
        <v/>
      </c>
    </row>
    <row r="479">
      <c r="A479" s="0" t="s">
        <v>1256</v>
      </c>
      <c r="B479" s="0" t="s">
        <v>1257</v>
      </c>
      <c r="C479" s="0" t="s">
        <v>863</v>
      </c>
      <c r="D479" s="0">
        <f dt2D="0" dtr="0">HYPERLINK("https://www.icra.in/Rating/RatingDetails?CompanyId=0&amp;CompanyName=D.R. Coats Ink &amp; Resins Private Limited", "Rationale")</f>
        <v/>
      </c>
    </row>
    <row r="480">
      <c r="A480" s="0" t="s">
        <v>1258</v>
      </c>
      <c r="B480" s="0" t="s">
        <v>1259</v>
      </c>
      <c r="C480" s="0" t="s">
        <v>1260</v>
      </c>
      <c r="D480" s="0">
        <f dt2D="0" dtr="0">HYPERLINK("https://www.icra.in/Rating/RatingDetails?CompanyId=0&amp;CompanyName=Daaj Hotels And Resorts Private Limited", "Rationale")</f>
        <v/>
      </c>
    </row>
    <row r="481">
      <c r="A481" s="0" t="s">
        <v>1261</v>
      </c>
      <c r="B481" s="0" t="s">
        <v>1262</v>
      </c>
      <c r="C481" s="0" t="s">
        <v>816</v>
      </c>
      <c r="D481" s="0">
        <f dt2D="0" dtr="0">HYPERLINK("https://www.icra.in/Rating/RatingDetails?CompanyId=0&amp;CompanyName=Dada Ganpati Guar Products Pvt. Ltd.", "Rationale")</f>
        <v/>
      </c>
    </row>
    <row r="482">
      <c r="A482" s="0" t="s">
        <v>1263</v>
      </c>
      <c r="B482" s="0" t="s">
        <v>1264</v>
      </c>
      <c r="C482" s="0" t="s">
        <v>71</v>
      </c>
      <c r="D482" s="0">
        <f dt2D="0" dtr="0">HYPERLINK("https://www.icra.in/Rating/RatingDetails?CompanyId=0&amp;CompanyName=Daftari Agro Private Limited", "Rationale")</f>
        <v/>
      </c>
    </row>
    <row r="483">
      <c r="A483" s="0" t="s">
        <v>1265</v>
      </c>
      <c r="B483" s="0" t="s">
        <v>1266</v>
      </c>
      <c r="C483" s="0" t="s">
        <v>71</v>
      </c>
      <c r="D483" s="0">
        <f dt2D="0" dtr="0">HYPERLINK("https://www.icra.in/Rating/RatingDetails?CompanyId=0&amp;CompanyName=Dahyabhai B. Patel", "Rationale")</f>
        <v/>
      </c>
    </row>
    <row r="484">
      <c r="A484" s="0" t="s">
        <v>1267</v>
      </c>
      <c r="B484" s="0" t="s">
        <v>1268</v>
      </c>
      <c r="C484" s="0" t="s">
        <v>1269</v>
      </c>
      <c r="D484" s="0">
        <f dt2D="0" dtr="0">HYPERLINK("https://www.icra.in/Rating/RatingDetails?CompanyId=0&amp;CompanyName=Damodar Tradelinks Private Limited", "Rationale")</f>
        <v/>
      </c>
    </row>
    <row r="485">
      <c r="A485" s="0" t="s">
        <v>1270</v>
      </c>
      <c r="B485" s="0" t="s">
        <v>1271</v>
      </c>
      <c r="C485" s="0" t="s">
        <v>247</v>
      </c>
      <c r="D485" s="0">
        <f dt2D="0" dtr="0">HYPERLINK("https://www.icra.in/Rating/RatingDetails?CompanyId=0&amp;CompanyName=Danish Leather Exports", "Rationale")</f>
        <v/>
      </c>
    </row>
    <row r="486">
      <c r="A486" s="0" t="s">
        <v>1272</v>
      </c>
      <c r="B486" s="0" t="s">
        <v>1273</v>
      </c>
      <c r="C486" s="0" t="s">
        <v>1274</v>
      </c>
      <c r="D486" s="0">
        <f dt2D="0" dtr="0">HYPERLINK("https://www.icra.in/Rating/RatingDetails?CompanyId=0&amp;CompanyName=Darjeeling Power Private Limited (erstwhile Darjeeling Power Limited)", "Rationale")</f>
        <v/>
      </c>
    </row>
    <row r="487">
      <c r="A487" s="0" t="s">
        <v>1275</v>
      </c>
      <c r="B487" s="0" t="s">
        <v>1276</v>
      </c>
      <c r="C487" s="0" t="s">
        <v>500</v>
      </c>
      <c r="D487" s="0">
        <f dt2D="0" dtr="0">HYPERLINK("https://www.icra.in/Rating/RatingDetails?CompanyId=0&amp;CompanyName=Darpan Infrastructure Private Limited", "Rationale")</f>
        <v/>
      </c>
    </row>
    <row r="488">
      <c r="A488" s="0" t="s">
        <v>1277</v>
      </c>
      <c r="B488" s="0" t="s">
        <v>1278</v>
      </c>
      <c r="C488" s="0" t="s">
        <v>1279</v>
      </c>
      <c r="D488" s="0">
        <f dt2D="0" dtr="0">HYPERLINK("https://www.icra.in/Rating/RatingDetails?CompanyId=0&amp;CompanyName=Darwin Pharma Pvt.Ltd.", "Rationale")</f>
        <v/>
      </c>
    </row>
    <row r="489">
      <c r="A489" s="0" t="s">
        <v>1280</v>
      </c>
      <c r="B489" s="0" t="s">
        <v>1281</v>
      </c>
      <c r="C489" s="0" t="s">
        <v>71</v>
      </c>
      <c r="D489" s="0">
        <f dt2D="0" dtr="0">HYPERLINK("https://www.icra.in/Rating/RatingDetails?CompanyId=0&amp;CompanyName=Dashmesh Agro Industries", "Rationale")</f>
        <v/>
      </c>
    </row>
    <row r="490">
      <c r="A490" s="0" t="s">
        <v>1282</v>
      </c>
      <c r="B490" s="0" t="s">
        <v>1283</v>
      </c>
      <c r="C490" s="0" t="s">
        <v>1284</v>
      </c>
      <c r="D490" s="0">
        <f dt2D="0" dtr="0">HYPERLINK("https://www.icra.in/Rating/RatingDetails?CompanyId=0&amp;CompanyName=Dashmesh Rice Mills", "Rationale")</f>
        <v/>
      </c>
    </row>
    <row r="491">
      <c r="A491" s="0" t="s">
        <v>1285</v>
      </c>
      <c r="B491" s="0" t="s">
        <v>1286</v>
      </c>
      <c r="C491" s="0" t="s">
        <v>1287</v>
      </c>
      <c r="D491" s="0">
        <f dt2D="0" dtr="0">HYPERLINK("https://www.icra.in/Rating/RatingDetails?CompanyId=0&amp;CompanyName=Datacom Products (India) Pvt. Ltd.", "Rationale")</f>
        <v/>
      </c>
    </row>
    <row r="492">
      <c r="A492" s="0" t="s">
        <v>1288</v>
      </c>
      <c r="B492" s="0" t="s">
        <v>1289</v>
      </c>
      <c r="C492" s="0" t="s">
        <v>1131</v>
      </c>
      <c r="D492" s="0">
        <f dt2D="0" dtr="0">HYPERLINK("https://www.icra.in/Rating/RatingDetails?CompanyId=0&amp;CompanyName=Dattar Ceramic Private Limited", "Rationale")</f>
        <v/>
      </c>
    </row>
    <row r="493">
      <c r="A493" s="0" t="s">
        <v>1290</v>
      </c>
      <c r="B493" s="0" t="s">
        <v>1291</v>
      </c>
      <c r="C493" s="0" t="s">
        <v>1292</v>
      </c>
      <c r="D493" s="0">
        <f dt2D="0" dtr="0">HYPERLINK("https://www.icra.in/Rating/RatingDetails?CompanyId=0&amp;CompanyName=Davariya Brothers Private Limited", "Rationale")</f>
        <v/>
      </c>
    </row>
    <row r="494">
      <c r="A494" s="0" t="s">
        <v>1293</v>
      </c>
      <c r="B494" s="0" t="s">
        <v>1294</v>
      </c>
      <c r="C494" s="0" t="s">
        <v>71</v>
      </c>
      <c r="D494" s="0">
        <f dt2D="0" dtr="0">HYPERLINK("https://www.icra.in/Rating/RatingDetails?CompanyId=0&amp;CompanyName=Deccan Ispat Limited", "Rationale")</f>
        <v/>
      </c>
    </row>
    <row r="495">
      <c r="A495" s="0" t="s">
        <v>1295</v>
      </c>
      <c r="B495" s="0" t="s">
        <v>1296</v>
      </c>
      <c r="C495" s="0" t="s">
        <v>211</v>
      </c>
      <c r="D495" s="0">
        <f dt2D="0" dtr="0">HYPERLINK("https://www.icra.in/Rating/RatingDetails?CompanyId=0&amp;CompanyName=Deco Equipments Private Limited", "Rationale")</f>
        <v/>
      </c>
    </row>
    <row r="496">
      <c r="A496" s="0" t="s">
        <v>1297</v>
      </c>
      <c r="B496" s="0" t="s">
        <v>1298</v>
      </c>
      <c r="C496" s="0" t="s">
        <v>1299</v>
      </c>
      <c r="D496" s="0">
        <f dt2D="0" dtr="0">HYPERLINK("https://www.icra.in/Rating/RatingDetails?CompanyId=0&amp;CompanyName=Decor Paper Mills Limited", "Rationale")</f>
        <v/>
      </c>
    </row>
    <row r="497">
      <c r="A497" s="0" t="s">
        <v>1300</v>
      </c>
      <c r="B497" s="0" t="s">
        <v>1301</v>
      </c>
      <c r="C497" s="0" t="s">
        <v>1302</v>
      </c>
      <c r="D497" s="0">
        <f dt2D="0" dtr="0">HYPERLINK("https://www.icra.in/Rating/RatingDetails?CompanyId=0&amp;CompanyName=Deekay Trexim India Private Limited", "Rationale")</f>
        <v/>
      </c>
    </row>
    <row r="498">
      <c r="A498" s="0" t="s">
        <v>1303</v>
      </c>
      <c r="B498" s="0" t="s">
        <v>1304</v>
      </c>
      <c r="C498" s="0" t="s">
        <v>1305</v>
      </c>
      <c r="D498" s="0">
        <f dt2D="0" dtr="0">HYPERLINK("https://www.icra.in/Rating/RatingDetails?CompanyId=0&amp;CompanyName=Deepa Developers", "Rationale")</f>
        <v/>
      </c>
    </row>
    <row r="499">
      <c r="A499" s="0" t="s">
        <v>1306</v>
      </c>
      <c r="B499" s="0" t="s">
        <v>1307</v>
      </c>
      <c r="C499" s="0" t="s">
        <v>1090</v>
      </c>
      <c r="D499" s="0">
        <f dt2D="0" dtr="0">HYPERLINK("https://www.icra.in/Rating/RatingDetails?CompanyId=0&amp;CompanyName=Deepak Builders", "Rationale")</f>
        <v/>
      </c>
    </row>
    <row r="500">
      <c r="A500" s="0" t="s">
        <v>1308</v>
      </c>
      <c r="B500" s="0" t="s">
        <v>1309</v>
      </c>
      <c r="C500" s="0" t="s">
        <v>71</v>
      </c>
      <c r="D500" s="0">
        <f dt2D="0" dtr="0">HYPERLINK("https://www.icra.in/Rating/RatingDetails?CompanyId=0&amp;CompanyName=Deepthy Fenishers", "Rationale")</f>
        <v/>
      </c>
    </row>
    <row r="501">
      <c r="A501" s="0" t="s">
        <v>1310</v>
      </c>
      <c r="B501" s="0" t="s">
        <v>1311</v>
      </c>
      <c r="C501" s="0" t="s">
        <v>649</v>
      </c>
      <c r="D501" s="0">
        <f dt2D="0" dtr="0">HYPERLINK("https://www.icra.in/Rating/RatingDetails?CompanyId=0&amp;CompanyName=Delhi Waste Management Limited", "Rationale")</f>
        <v/>
      </c>
    </row>
    <row r="502">
      <c r="A502" s="0" t="s">
        <v>1312</v>
      </c>
      <c r="B502" s="0" t="s">
        <v>1313</v>
      </c>
      <c r="C502" s="0" t="s">
        <v>1314</v>
      </c>
      <c r="D502" s="0">
        <f dt2D="0" dtr="0">HYPERLINK("https://www.icra.in/Rating/RatingDetails?CompanyId=0&amp;CompanyName=Delite Cables Pvt. Ltd.", "Rationale")</f>
        <v/>
      </c>
    </row>
    <row r="503">
      <c r="A503" s="0" t="s">
        <v>1315</v>
      </c>
      <c r="B503" s="0" t="s">
        <v>1316</v>
      </c>
      <c r="C503" s="0" t="s">
        <v>773</v>
      </c>
      <c r="D503" s="0">
        <f dt2D="0" dtr="0">HYPERLINK("https://www.icra.in/Rating/RatingDetails?CompanyId=0&amp;CompanyName=Deorani Devi Memorial Trust", "Rationale")</f>
        <v/>
      </c>
    </row>
    <row r="504">
      <c r="A504" s="0" t="s">
        <v>1317</v>
      </c>
      <c r="B504" s="0" t="s">
        <v>1318</v>
      </c>
      <c r="C504" s="0" t="s">
        <v>1319</v>
      </c>
      <c r="D504" s="0">
        <f dt2D="0" dtr="0">HYPERLINK("https://www.icra.in/Rating/RatingDetails?CompanyId=0&amp;CompanyName=Desai Distributors", "Rationale")</f>
        <v/>
      </c>
    </row>
    <row r="505">
      <c r="A505" s="0" t="s">
        <v>1320</v>
      </c>
      <c r="B505" s="0" t="s">
        <v>1321</v>
      </c>
      <c r="C505" s="0" t="s">
        <v>907</v>
      </c>
      <c r="D505" s="0">
        <f dt2D="0" dtr="0">HYPERLINK("https://www.icra.in/Rating/RatingDetails?CompanyId=0&amp;CompanyName=Desein Private Limited", "Rationale")</f>
        <v/>
      </c>
    </row>
    <row r="506">
      <c r="A506" s="0" t="s">
        <v>1322</v>
      </c>
      <c r="B506" s="0" t="s">
        <v>1323</v>
      </c>
      <c r="C506" s="0" t="s">
        <v>71</v>
      </c>
      <c r="D506" s="0">
        <f dt2D="0" dtr="0">HYPERLINK("https://www.icra.in/Rating/RatingDetails?CompanyId=0&amp;CompanyName=Design Classics Exports Private Limited", "Rationale")</f>
        <v/>
      </c>
    </row>
    <row r="507">
      <c r="A507" s="0" t="s">
        <v>1324</v>
      </c>
      <c r="B507" s="0" t="s">
        <v>1325</v>
      </c>
      <c r="C507" s="0" t="s">
        <v>1326</v>
      </c>
      <c r="D507" s="0">
        <f dt2D="0" dtr="0">HYPERLINK("https://www.icra.in/Rating/RatingDetails?CompanyId=0&amp;CompanyName=Design Creation", "Rationale")</f>
        <v/>
      </c>
    </row>
    <row r="508">
      <c r="A508" s="0" t="s">
        <v>1327</v>
      </c>
      <c r="B508" s="0" t="s">
        <v>1328</v>
      </c>
      <c r="C508" s="0" t="s">
        <v>74</v>
      </c>
      <c r="D508" s="0">
        <f dt2D="0" dtr="0">HYPERLINK("https://www.icra.in/Rating/RatingDetails?CompanyId=0&amp;CompanyName=Dev Bhoomi Frozen Food Products", "Rationale")</f>
        <v/>
      </c>
    </row>
    <row r="509">
      <c r="A509" s="0" t="s">
        <v>1329</v>
      </c>
      <c r="B509" s="0" t="s">
        <v>1330</v>
      </c>
      <c r="C509" s="0" t="s">
        <v>293</v>
      </c>
      <c r="D509" s="0">
        <f dt2D="0" dtr="0">HYPERLINK("https://www.icra.in/Rating/RatingDetails?CompanyId=0&amp;CompanyName=Dev Cotton &amp; Oil Industries", "Rationale")</f>
        <v/>
      </c>
    </row>
    <row r="510">
      <c r="A510" s="0" t="s">
        <v>1331</v>
      </c>
      <c r="B510" s="0" t="s">
        <v>1332</v>
      </c>
      <c r="C510" s="0" t="s">
        <v>1131</v>
      </c>
      <c r="D510" s="0">
        <f dt2D="0" dtr="0">HYPERLINK("https://www.icra.in/Rating/RatingDetails?CompanyId=0&amp;CompanyName=Devanga Sangha", "Rationale")</f>
        <v/>
      </c>
    </row>
    <row r="511">
      <c r="A511" s="0" t="s">
        <v>1333</v>
      </c>
      <c r="B511" s="0" t="s">
        <v>1334</v>
      </c>
      <c r="C511" s="0" t="s">
        <v>1335</v>
      </c>
      <c r="D511" s="0">
        <f dt2D="0" dtr="0">HYPERLINK("https://www.icra.in/Rating/RatingDetails?CompanyId=0&amp;CompanyName=Devdeep Cotton Industries", "Rationale")</f>
        <v/>
      </c>
    </row>
    <row r="512">
      <c r="A512" s="0" t="s">
        <v>1336</v>
      </c>
      <c r="B512" s="0" t="s">
        <v>1337</v>
      </c>
      <c r="C512" s="0" t="s">
        <v>6</v>
      </c>
      <c r="D512" s="0">
        <f dt2D="0" dtr="0">HYPERLINK("https://www.icra.in/Rating/RatingDetails?CompanyId=0&amp;CompanyName=Devi Iron &amp; Power Pvt. Ltd.", "Rationale")</f>
        <v/>
      </c>
    </row>
    <row r="513">
      <c r="A513" s="0" t="s">
        <v>1338</v>
      </c>
      <c r="B513" s="0" t="s">
        <v>1339</v>
      </c>
      <c r="C513" s="0" t="s">
        <v>1340</v>
      </c>
      <c r="D513" s="0">
        <f dt2D="0" dtr="0">HYPERLINK("https://www.icra.in/Rating/RatingDetails?CompanyId=0&amp;CompanyName=Dhanalakshmi Srinivasan Charitable and Educational Trust", "Rationale")</f>
        <v/>
      </c>
    </row>
    <row r="514">
      <c r="A514" s="0" t="s">
        <v>1341</v>
      </c>
      <c r="B514" s="0" t="s">
        <v>1342</v>
      </c>
      <c r="C514" s="0" t="s">
        <v>1343</v>
      </c>
      <c r="D514" s="0">
        <f dt2D="0" dtr="0">HYPERLINK("https://www.icra.in/Rating/RatingDetails?CompanyId=0&amp;CompanyName=Dhanalakshmi Srinivasan Hotels Private Limited", "Rationale")</f>
        <v/>
      </c>
    </row>
    <row r="515">
      <c r="A515" s="0" t="s">
        <v>1344</v>
      </c>
      <c r="B515" s="0" t="s">
        <v>1345</v>
      </c>
      <c r="C515" s="0" t="s">
        <v>6</v>
      </c>
      <c r="D515" s="0">
        <f dt2D="0" dtr="0">HYPERLINK("https://www.icra.in/Rating/RatingDetails?CompanyId=0&amp;CompanyName=Dhandu Mariamman Steels", "Rationale")</f>
        <v/>
      </c>
    </row>
    <row r="516">
      <c r="A516" s="0" t="s">
        <v>1346</v>
      </c>
      <c r="B516" s="0" t="s">
        <v>1347</v>
      </c>
      <c r="C516" s="0" t="s">
        <v>71</v>
      </c>
      <c r="D516" s="0">
        <f dt2D="0" dtr="0">HYPERLINK("https://www.icra.in/Rating/RatingDetails?CompanyId=0&amp;CompanyName=Dhansmruti Textiles Pvt Ltd", "Rationale")</f>
        <v/>
      </c>
    </row>
    <row r="517">
      <c r="A517" s="0" t="s">
        <v>1348</v>
      </c>
      <c r="B517" s="0" t="s">
        <v>1349</v>
      </c>
      <c r="C517" s="0" t="s">
        <v>1350</v>
      </c>
      <c r="D517" s="0">
        <f dt2D="0" dtr="0">HYPERLINK("https://www.icra.in/Rating/RatingDetails?CompanyId=0&amp;CompanyName=Dharamchand Paraschand Exports", "Rationale")</f>
        <v/>
      </c>
    </row>
    <row r="518">
      <c r="A518" s="0" t="s">
        <v>1351</v>
      </c>
      <c r="B518" s="0" t="s">
        <v>1352</v>
      </c>
      <c r="C518" s="0" t="s">
        <v>71</v>
      </c>
      <c r="D518" s="0">
        <f dt2D="0" dtr="0">HYPERLINK("https://www.icra.in/Rating/RatingDetails?CompanyId=0&amp;CompanyName=Dhareshwar Cotton Private Limited", "Rationale")</f>
        <v/>
      </c>
    </row>
    <row r="519">
      <c r="A519" s="0" t="s">
        <v>1353</v>
      </c>
      <c r="B519" s="0" t="s">
        <v>1354</v>
      </c>
      <c r="C519" s="0" t="s">
        <v>1355</v>
      </c>
      <c r="D519" s="0">
        <f dt2D="0" dtr="0">HYPERLINK("https://www.icra.in/Rating/RatingDetails?CompanyId=0&amp;CompanyName=Dhiraj Foundation", "Rationale")</f>
        <v/>
      </c>
    </row>
    <row r="520">
      <c r="A520" s="0" t="s">
        <v>1356</v>
      </c>
      <c r="B520" s="0" t="s">
        <v>1357</v>
      </c>
      <c r="C520" s="0" t="s">
        <v>6</v>
      </c>
      <c r="D520" s="0">
        <f dt2D="0" dtr="0">HYPERLINK("https://www.icra.in/Rating/RatingDetails?CompanyId=0&amp;CompanyName=Dhirendra Narayan Cold Storage Private Limited", "Rationale")</f>
        <v/>
      </c>
    </row>
    <row r="521">
      <c r="A521" s="0" t="s">
        <v>1358</v>
      </c>
      <c r="B521" s="0" t="s">
        <v>1359</v>
      </c>
      <c r="C521" s="0" t="s">
        <v>1360</v>
      </c>
      <c r="D521" s="0">
        <f dt2D="0" dtr="0">HYPERLINK("https://www.icra.in/Rating/RatingDetails?CompanyId=0&amp;CompanyName=DHS Hotels Private Limited", "Rationale")</f>
        <v/>
      </c>
    </row>
    <row r="522">
      <c r="A522" s="0" t="s">
        <v>1361</v>
      </c>
      <c r="B522" s="0" t="s">
        <v>1362</v>
      </c>
      <c r="C522" s="0" t="s">
        <v>1363</v>
      </c>
      <c r="D522" s="0">
        <f dt2D="0" dtr="0">HYPERLINK("https://www.icra.in/Rating/RatingDetails?CompanyId=0&amp;CompanyName=Dhuria Rice Mills", "Rationale")</f>
        <v/>
      </c>
    </row>
    <row r="523">
      <c r="A523" s="0" t="s">
        <v>1364</v>
      </c>
      <c r="B523" s="0" t="s">
        <v>1365</v>
      </c>
      <c r="C523" s="0" t="s">
        <v>256</v>
      </c>
      <c r="D523" s="0">
        <f dt2D="0" dtr="0">HYPERLINK("https://www.icra.in/Rating/RatingDetails?CompanyId=0&amp;CompanyName=Diach Chemicals &amp; Pigments Pvt Ltd", "Rationale")</f>
        <v/>
      </c>
    </row>
    <row r="524">
      <c r="A524" s="0" t="s">
        <v>1366</v>
      </c>
      <c r="B524" s="0" t="s">
        <v>1367</v>
      </c>
      <c r="C524" s="0" t="s">
        <v>1368</v>
      </c>
      <c r="D524" s="0">
        <f dt2D="0" dtr="0">HYPERLINK("https://www.icra.in/Rating/RatingDetails?CompanyId=0&amp;CompanyName=Diligent Media Corporation Limited", "Rationale")</f>
        <v/>
      </c>
    </row>
    <row r="525">
      <c r="A525" s="0" t="s">
        <v>1369</v>
      </c>
      <c r="B525" s="0" t="s">
        <v>1370</v>
      </c>
      <c r="C525" s="0" t="s">
        <v>197</v>
      </c>
      <c r="D525" s="0">
        <f dt2D="0" dtr="0">HYPERLINK("https://www.icra.in/Rating/RatingDetails?CompanyId=0&amp;CompanyName=Dindayal Jalan Textiles Ltd", "Rationale")</f>
        <v/>
      </c>
    </row>
    <row r="526">
      <c r="A526" s="0" t="s">
        <v>1371</v>
      </c>
      <c r="B526" s="0" t="s">
        <v>1372</v>
      </c>
      <c r="C526" s="0" t="s">
        <v>1222</v>
      </c>
      <c r="D526" s="0">
        <f dt2D="0" dtr="0">HYPERLINK("https://www.icra.in/Rating/RatingDetails?CompanyId=0&amp;CompanyName=Dinjoye Tea Estate Pvt. Ltd.", "Rationale")</f>
        <v/>
      </c>
    </row>
    <row r="527">
      <c r="A527" s="0" t="s">
        <v>1373</v>
      </c>
      <c r="B527" s="0" t="s">
        <v>1374</v>
      </c>
      <c r="C527" s="0" t="s">
        <v>600</v>
      </c>
      <c r="D527" s="0">
        <f dt2D="0" dtr="0">HYPERLINK("https://www.icra.in/Rating/RatingDetails?CompanyId=0&amp;CompanyName=Dipanshu Promoter &amp; Builder Pvt. Ltd.", "Rationale")</f>
        <v/>
      </c>
    </row>
    <row r="528">
      <c r="A528" s="0" t="s">
        <v>1375</v>
      </c>
      <c r="B528" s="0" t="s">
        <v>1376</v>
      </c>
      <c r="C528" s="0" t="s">
        <v>531</v>
      </c>
      <c r="D528" s="0">
        <f dt2D="0" dtr="0">HYPERLINK("https://www.icra.in/Rating/RatingDetails?CompanyId=0&amp;CompanyName=Discovery Laboratories Private Limited", "Rationale")</f>
        <v/>
      </c>
    </row>
    <row r="529">
      <c r="A529" s="0" t="s">
        <v>1377</v>
      </c>
      <c r="B529" s="0" t="s">
        <v>1378</v>
      </c>
      <c r="C529" s="0" t="s">
        <v>744</v>
      </c>
      <c r="D529" s="0">
        <f dt2D="0" dtr="0">HYPERLINK("https://www.icra.in/Rating/RatingDetails?CompanyId=0&amp;CompanyName=Disha Communications Private Limited", "Rationale")</f>
        <v/>
      </c>
    </row>
    <row r="530">
      <c r="A530" s="0" t="s">
        <v>1379</v>
      </c>
      <c r="B530" s="0" t="s">
        <v>1380</v>
      </c>
      <c r="C530" s="0" t="s">
        <v>71</v>
      </c>
      <c r="D530" s="0">
        <f dt2D="0" dtr="0">HYPERLINK("https://www.icra.in/Rating/RatingDetails?CompanyId=0&amp;CompanyName=Dishnet Wireless Limited", "Rationale")</f>
        <v/>
      </c>
    </row>
    <row r="531">
      <c r="A531" s="0" t="s">
        <v>1381</v>
      </c>
      <c r="B531" s="0" t="s">
        <v>1382</v>
      </c>
      <c r="C531" s="0" t="s">
        <v>980</v>
      </c>
      <c r="D531" s="0">
        <f dt2D="0" dtr="0">HYPERLINK("https://www.icra.in/Rating/RatingDetails?CompanyId=0&amp;CompanyName=Divine Alloys &amp; Power Company Limited", "Rationale")</f>
        <v/>
      </c>
    </row>
    <row r="532">
      <c r="A532" s="0" t="s">
        <v>1383</v>
      </c>
      <c r="B532" s="0" t="s">
        <v>1384</v>
      </c>
      <c r="C532" s="0" t="s">
        <v>457</v>
      </c>
      <c r="D532" s="0">
        <f dt2D="0" dtr="0">HYPERLINK("https://www.icra.in/Rating/RatingDetails?CompanyId=0&amp;CompanyName=Divine Solutions Private Limited", "Rationale")</f>
        <v/>
      </c>
    </row>
    <row r="533">
      <c r="A533" s="0" t="s">
        <v>1385</v>
      </c>
      <c r="B533" s="0" t="s">
        <v>1386</v>
      </c>
      <c r="C533" s="0" t="s">
        <v>391</v>
      </c>
      <c r="D533" s="0">
        <f dt2D="0" dtr="0">HYPERLINK("https://www.icra.in/Rating/RatingDetails?CompanyId=0&amp;CompanyName=Divya Construction Company", "Rationale")</f>
        <v/>
      </c>
    </row>
    <row r="534">
      <c r="A534" s="0" t="s">
        <v>1387</v>
      </c>
      <c r="B534" s="0" t="s">
        <v>1388</v>
      </c>
      <c r="C534" s="0" t="s">
        <v>59</v>
      </c>
      <c r="D534" s="0">
        <f dt2D="0" dtr="0">HYPERLINK("https://www.icra.in/Rating/RatingDetails?CompanyId=0&amp;CompanyName=Divya Cotton", "Rationale")</f>
        <v/>
      </c>
    </row>
    <row r="535">
      <c r="A535" s="0" t="s">
        <v>1389</v>
      </c>
      <c r="B535" s="0" t="s">
        <v>1390</v>
      </c>
      <c r="C535" s="0" t="s">
        <v>1391</v>
      </c>
      <c r="D535" s="0">
        <f dt2D="0" dtr="0">HYPERLINK("https://www.icra.in/Rating/RatingDetails?CompanyId=0&amp;CompanyName=Divyasree NSL Infrastructure Private Limited", "Rationale")</f>
        <v/>
      </c>
    </row>
    <row r="536">
      <c r="A536" s="0" t="s">
        <v>1392</v>
      </c>
      <c r="B536" s="0" t="s">
        <v>1393</v>
      </c>
      <c r="C536" s="0" t="s">
        <v>1394</v>
      </c>
      <c r="D536" s="0">
        <f dt2D="0" dtr="0">HYPERLINK("https://www.icra.in/Rating/RatingDetails?CompanyId=0&amp;CompanyName=DMD Developers Private Limited", "Rationale")</f>
        <v/>
      </c>
    </row>
    <row r="537">
      <c r="A537" s="0" t="s">
        <v>1395</v>
      </c>
      <c r="B537" s="0" t="s">
        <v>1396</v>
      </c>
      <c r="C537" s="0" t="s">
        <v>1397</v>
      </c>
      <c r="D537" s="0">
        <f dt2D="0" dtr="0">HYPERLINK("https://www.icra.in/Rating/RatingDetails?CompanyId=0&amp;CompanyName=DMK Particleboard LLP", "Rationale")</f>
        <v/>
      </c>
    </row>
    <row r="538">
      <c r="A538" s="0" t="s">
        <v>1398</v>
      </c>
      <c r="B538" s="0" t="s">
        <v>1399</v>
      </c>
      <c r="C538" s="0" t="s">
        <v>1400</v>
      </c>
      <c r="D538" s="0">
        <f dt2D="0" dtr="0">HYPERLINK("https://www.icra.in/Rating/RatingDetails?CompanyId=0&amp;CompanyName=DNP Foods Limited", "Rationale")</f>
        <v/>
      </c>
    </row>
    <row r="539">
      <c r="A539" s="0" t="s">
        <v>1401</v>
      </c>
      <c r="B539" s="0" t="s">
        <v>1402</v>
      </c>
      <c r="C539" s="0" t="s">
        <v>1403</v>
      </c>
      <c r="D539" s="0">
        <f dt2D="0" dtr="0">HYPERLINK("https://www.icra.in/Rating/RatingDetails?CompanyId=0&amp;CompanyName=Dollfine Developers", "Rationale")</f>
        <v/>
      </c>
    </row>
    <row r="540">
      <c r="A540" s="0" t="s">
        <v>1404</v>
      </c>
      <c r="B540" s="0" t="s">
        <v>1405</v>
      </c>
      <c r="C540" s="0" t="s">
        <v>1406</v>
      </c>
      <c r="D540" s="0">
        <f dt2D="0" dtr="0">HYPERLINK("https://www.icra.in/Rating/RatingDetails?CompanyId=0&amp;CompanyName=Dolly Exim Private Limited", "Rationale")</f>
        <v/>
      </c>
    </row>
    <row r="541">
      <c r="A541" s="0" t="s">
        <v>1407</v>
      </c>
      <c r="B541" s="0" t="s">
        <v>1408</v>
      </c>
      <c r="C541" s="0" t="s">
        <v>1409</v>
      </c>
      <c r="D541" s="0">
        <f dt2D="0" dtr="0">HYPERLINK("https://www.icra.in/Rating/RatingDetails?CompanyId=0&amp;CompanyName=Dolphin Foods India Limited", "Rationale")</f>
        <v/>
      </c>
    </row>
    <row r="542">
      <c r="A542" s="0" t="s">
        <v>1410</v>
      </c>
      <c r="B542" s="0" t="s">
        <v>1411</v>
      </c>
      <c r="C542" s="0" t="s">
        <v>1412</v>
      </c>
      <c r="D542" s="0">
        <f dt2D="0" dtr="0">HYPERLINK("https://www.icra.in/Rating/RatingDetails?CompanyId=0&amp;CompanyName=Dolphin Marine Foods &amp; Processors (India) Private Limited", "Rationale")</f>
        <v/>
      </c>
    </row>
    <row r="543">
      <c r="A543" s="0" t="s">
        <v>1413</v>
      </c>
      <c r="B543" s="0" t="s">
        <v>1414</v>
      </c>
      <c r="C543" s="0" t="s">
        <v>1279</v>
      </c>
      <c r="D543" s="0">
        <f dt2D="0" dtr="0">HYPERLINK("https://www.icra.in/Rating/RatingDetails?CompanyId=0&amp;CompanyName=Door Sanchar Hydro Power Private Limited", "Rationale")</f>
        <v/>
      </c>
    </row>
    <row r="544">
      <c r="A544" s="0" t="s">
        <v>1415</v>
      </c>
      <c r="B544" s="0" t="s">
        <v>1416</v>
      </c>
      <c r="C544" s="0" t="s">
        <v>1417</v>
      </c>
      <c r="D544" s="0">
        <f dt2D="0" dtr="0">HYPERLINK("https://www.icra.in/Rating/RatingDetails?CompanyId=0&amp;CompanyName=Doshi Ceramic Industries", "Rationale")</f>
        <v/>
      </c>
    </row>
    <row r="545">
      <c r="A545" s="0" t="s">
        <v>1418</v>
      </c>
      <c r="B545" s="0" t="s">
        <v>1419</v>
      </c>
      <c r="C545" s="0" t="s">
        <v>1420</v>
      </c>
      <c r="D545" s="0">
        <f dt2D="0" dtr="0">HYPERLINK("https://www.icra.in/Rating/RatingDetails?CompanyId=0&amp;CompanyName=DP Jain &amp; Co. Infrastructure Pvt Ltd", "Rationale")</f>
        <v/>
      </c>
    </row>
    <row r="546">
      <c r="A546" s="0" t="s">
        <v>1421</v>
      </c>
      <c r="B546" s="0" t="s">
        <v>1422</v>
      </c>
      <c r="C546" s="0" t="s">
        <v>1284</v>
      </c>
      <c r="D546" s="0">
        <f dt2D="0" dtr="0">HYPERLINK("https://www.icra.in/Rating/RatingDetails?CompanyId=0&amp;CompanyName=Dream Digital", "Rationale")</f>
        <v/>
      </c>
    </row>
    <row r="547">
      <c r="A547" s="0" t="s">
        <v>1423</v>
      </c>
      <c r="B547" s="0" t="s">
        <v>1424</v>
      </c>
      <c r="C547" s="0" t="s">
        <v>1425</v>
      </c>
      <c r="D547" s="0">
        <f dt2D="0" dtr="0">HYPERLINK("https://www.icra.in/Rating/RatingDetails?CompanyId=0&amp;CompanyName=Dream Home Carpets Private Limited", "Rationale")</f>
        <v/>
      </c>
    </row>
    <row r="548">
      <c r="A548" s="0" t="s">
        <v>1426</v>
      </c>
      <c r="B548" s="0" t="s">
        <v>1427</v>
      </c>
      <c r="C548" s="0" t="s">
        <v>958</v>
      </c>
      <c r="D548" s="0">
        <f dt2D="0" dtr="0">HYPERLINK("https://www.icra.in/Rating/RatingDetails?CompanyId=0&amp;CompanyName=DS Toll Road Limited", "Rationale")</f>
        <v/>
      </c>
    </row>
    <row r="549">
      <c r="A549" s="0" t="s">
        <v>1428</v>
      </c>
      <c r="B549" s="0" t="s">
        <v>1429</v>
      </c>
      <c r="C549" s="0" t="s">
        <v>1182</v>
      </c>
      <c r="D549" s="0">
        <f dt2D="0" dtr="0">HYPERLINK("https://www.icra.in/Rating/RatingDetails?CompanyId=0&amp;CompanyName=DSG Corp Private Limited", "Rationale")</f>
        <v/>
      </c>
    </row>
    <row r="550">
      <c r="A550" s="0" t="s">
        <v>1430</v>
      </c>
      <c r="B550" s="0" t="s">
        <v>1431</v>
      </c>
      <c r="C550" s="0" t="s">
        <v>1432</v>
      </c>
      <c r="D550" s="0">
        <f dt2D="0" dtr="0">HYPERLINK("https://www.icra.in/Rating/RatingDetails?CompanyId=0&amp;CompanyName=DSL Infrastructure And Space Developers Pvt. Ltd.", "Rationale")</f>
        <v/>
      </c>
    </row>
    <row r="551">
      <c r="A551" s="0" t="s">
        <v>1433</v>
      </c>
      <c r="B551" s="0" t="s">
        <v>1434</v>
      </c>
      <c r="C551" s="0" t="s">
        <v>511</v>
      </c>
      <c r="D551" s="0">
        <f dt2D="0" dtr="0">HYPERLINK("https://www.icra.in/Rating/RatingDetails?CompanyId=0&amp;CompanyName=Dugar Polymers Limited", "Rationale")</f>
        <v/>
      </c>
    </row>
    <row r="552">
      <c r="A552" s="0" t="s">
        <v>1435</v>
      </c>
      <c r="B552" s="0" t="s">
        <v>1436</v>
      </c>
      <c r="C552" s="0" t="s">
        <v>1437</v>
      </c>
      <c r="D552" s="0">
        <f dt2D="0" dtr="0">HYPERLINK("https://www.icra.in/Rating/RatingDetails?CompanyId=0&amp;CompanyName=Dulam Rocks Private Limited", "Rationale")</f>
        <v/>
      </c>
    </row>
    <row r="553">
      <c r="A553" s="0" t="s">
        <v>1438</v>
      </c>
      <c r="B553" s="0" t="s">
        <v>1439</v>
      </c>
      <c r="C553" s="0" t="s">
        <v>1440</v>
      </c>
      <c r="D553" s="0">
        <f dt2D="0" dtr="0">HYPERLINK("https://www.icra.in/Rating/RatingDetails?CompanyId=0&amp;CompanyName=Duratex Apparels", "Rationale")</f>
        <v/>
      </c>
    </row>
    <row r="554">
      <c r="A554" s="0" t="s">
        <v>1441</v>
      </c>
      <c r="B554" s="0" t="s">
        <v>1442</v>
      </c>
      <c r="C554" s="0" t="s">
        <v>1440</v>
      </c>
      <c r="D554" s="0">
        <f dt2D="0" dtr="0">HYPERLINK("https://www.icra.in/Rating/RatingDetails?CompanyId=0&amp;CompanyName=Duratex Exports", "Rationale")</f>
        <v/>
      </c>
    </row>
    <row r="555">
      <c r="A555" s="0" t="s">
        <v>1443</v>
      </c>
      <c r="B555" s="0" t="s">
        <v>1444</v>
      </c>
      <c r="C555" s="0" t="s">
        <v>1440</v>
      </c>
      <c r="D555" s="0">
        <f dt2D="0" dtr="0">HYPERLINK("https://www.icra.in/Rating/RatingDetails?CompanyId=0&amp;CompanyName=Duratex Silk Mills Private Limited", "Rationale")</f>
        <v/>
      </c>
    </row>
    <row r="556">
      <c r="A556" s="0" t="s">
        <v>1445</v>
      </c>
      <c r="B556" s="0" t="s">
        <v>1446</v>
      </c>
      <c r="C556" s="0" t="s">
        <v>405</v>
      </c>
      <c r="D556" s="0">
        <f dt2D="0" dtr="0">HYPERLINK("https://www.icra.in/Rating/RatingDetails?CompanyId=0&amp;CompanyName=Dureza Granito Pvt. Ltd.", "Rationale")</f>
        <v/>
      </c>
    </row>
    <row r="557">
      <c r="A557" s="0" t="s">
        <v>1447</v>
      </c>
      <c r="B557" s="0" t="s">
        <v>1448</v>
      </c>
      <c r="C557" s="0" t="s">
        <v>293</v>
      </c>
      <c r="D557" s="0">
        <f dt2D="0" dtr="0">HYPERLINK("https://www.icra.in/Rating/RatingDetails?CompanyId=0&amp;CompanyName=Durga Automotives Pvt Ltd", "Rationale")</f>
        <v/>
      </c>
    </row>
    <row r="558">
      <c r="A558" s="0" t="s">
        <v>1449</v>
      </c>
      <c r="B558" s="0" t="s">
        <v>1450</v>
      </c>
      <c r="C558" s="0" t="s">
        <v>816</v>
      </c>
      <c r="D558" s="0">
        <f dt2D="0" dtr="0">HYPERLINK("https://www.icra.in/Rating/RatingDetails?CompanyId=0&amp;CompanyName=Durga Polysters Pvt. Ltd.", "Rationale")</f>
        <v/>
      </c>
    </row>
    <row r="559">
      <c r="A559" s="0" t="s">
        <v>1451</v>
      </c>
      <c r="B559" s="0" t="s">
        <v>1452</v>
      </c>
      <c r="C559" s="0" t="s">
        <v>1453</v>
      </c>
      <c r="D559" s="0">
        <f dt2D="0" dtr="0">HYPERLINK("https://www.icra.in/Rating/RatingDetails?CompanyId=0&amp;CompanyName=Duroflex Private Limited", "Rationale")</f>
        <v/>
      </c>
    </row>
    <row r="560">
      <c r="A560" s="0" t="s">
        <v>1454</v>
      </c>
      <c r="B560" s="0" t="s">
        <v>1455</v>
      </c>
      <c r="C560" s="0" t="s">
        <v>223</v>
      </c>
      <c r="D560" s="0">
        <f dt2D="0" dtr="0">HYPERLINK("https://www.icra.in/Rating/RatingDetails?CompanyId=0&amp;CompanyName=Dusmer Tools Pvt. Ltd.", "Rationale")</f>
        <v/>
      </c>
    </row>
    <row r="561">
      <c r="A561" s="0" t="s">
        <v>1456</v>
      </c>
      <c r="B561" s="0" t="s">
        <v>1457</v>
      </c>
      <c r="C561" s="0" t="s">
        <v>1458</v>
      </c>
      <c r="D561" s="0">
        <f dt2D="0" dtr="0">HYPERLINK("https://www.icra.in/Rating/RatingDetails?CompanyId=0&amp;CompanyName=Dwarka Das Agarwal", "Rationale")</f>
        <v/>
      </c>
    </row>
    <row r="562">
      <c r="A562" s="0" t="s">
        <v>1459</v>
      </c>
      <c r="B562" s="0" t="s">
        <v>1460</v>
      </c>
      <c r="C562" s="0" t="s">
        <v>1461</v>
      </c>
      <c r="D562" s="0">
        <f dt2D="0" dtr="0">HYPERLINK("https://www.icra.in/Rating/RatingDetails?CompanyId=0&amp;CompanyName=Dwarkadhis Buildwell Private Limited", "Rationale")</f>
        <v/>
      </c>
    </row>
    <row r="563">
      <c r="A563" s="0" t="s">
        <v>1462</v>
      </c>
      <c r="B563" s="0" t="s">
        <v>1463</v>
      </c>
      <c r="C563" s="0" t="s">
        <v>679</v>
      </c>
      <c r="D563" s="0">
        <f dt2D="0" dtr="0">HYPERLINK("https://www.icra.in/Rating/RatingDetails?CompanyId=0&amp;CompanyName=Dynamic Transmission Limited", "Rationale")</f>
        <v/>
      </c>
    </row>
    <row r="564">
      <c r="A564" s="0" t="s">
        <v>1464</v>
      </c>
      <c r="B564" s="0" t="s">
        <v>1465</v>
      </c>
      <c r="C564" s="0" t="s">
        <v>1466</v>
      </c>
      <c r="D564" s="0">
        <f dt2D="0" dtr="0">HYPERLINK("https://www.icra.in/Rating/RatingDetails?CompanyId=0&amp;CompanyName=Eagle Continental Foods Private Limited", "Rationale")</f>
        <v/>
      </c>
    </row>
    <row r="565">
      <c r="A565" s="0" t="s">
        <v>1467</v>
      </c>
      <c r="B565" s="0" t="s">
        <v>1468</v>
      </c>
      <c r="C565" s="0" t="s">
        <v>1469</v>
      </c>
      <c r="D565" s="0">
        <f dt2D="0" dtr="0">HYPERLINK("https://www.icra.in/Rating/RatingDetails?CompanyId=0&amp;CompanyName=Earthcon Developers Pvt. Ltd.", "Rationale")</f>
        <v/>
      </c>
    </row>
    <row r="566">
      <c r="A566" s="0" t="s">
        <v>1470</v>
      </c>
      <c r="B566" s="0" t="s">
        <v>1471</v>
      </c>
      <c r="C566" s="0" t="s">
        <v>301</v>
      </c>
      <c r="D566" s="0">
        <f dt2D="0" dtr="0">HYPERLINK("https://www.icra.in/Rating/RatingDetails?CompanyId=0&amp;CompanyName=Eashwara Sai Cotton Industries", "Rationale")</f>
        <v/>
      </c>
    </row>
    <row r="567">
      <c r="A567" s="0" t="s">
        <v>1472</v>
      </c>
      <c r="B567" s="0" t="s">
        <v>1473</v>
      </c>
      <c r="C567" s="0" t="s">
        <v>1151</v>
      </c>
      <c r="D567" s="0">
        <f dt2D="0" dtr="0">HYPERLINK("https://www.icra.in/Rating/RatingDetails?CompanyId=0&amp;CompanyName=East Coast Energy Private Limited", "Rationale")</f>
        <v/>
      </c>
    </row>
    <row r="568">
      <c r="A568" s="0" t="s">
        <v>1474</v>
      </c>
      <c r="B568" s="0" t="s">
        <v>1475</v>
      </c>
      <c r="C568" s="0" t="s">
        <v>1476</v>
      </c>
      <c r="D568" s="0">
        <f dt2D="0" dtr="0">HYPERLINK("https://www.icra.in/Rating/RatingDetails?CompanyId=0&amp;CompanyName=East Coast Engineering Company", "Rationale")</f>
        <v/>
      </c>
    </row>
    <row r="569">
      <c r="A569" s="0" t="s">
        <v>1477</v>
      </c>
      <c r="B569" s="0" t="s">
        <v>1478</v>
      </c>
      <c r="C569" s="0" t="s">
        <v>71</v>
      </c>
      <c r="D569" s="0">
        <f dt2D="0" dtr="0">HYPERLINK("https://www.icra.in/Rating/RatingDetails?CompanyId=0&amp;CompanyName=East End Technologies Private Limited", "Rationale")</f>
        <v/>
      </c>
    </row>
    <row r="570">
      <c r="A570" s="0" t="s">
        <v>1479</v>
      </c>
      <c r="B570" s="0" t="s">
        <v>1480</v>
      </c>
      <c r="C570" s="0" t="s">
        <v>492</v>
      </c>
      <c r="D570" s="0">
        <f dt2D="0" dtr="0">HYPERLINK("https://www.icra.in/Rating/RatingDetails?CompanyId=0&amp;CompanyName=East Hyderabad Expressway Limited", "Rationale")</f>
        <v/>
      </c>
    </row>
    <row r="571">
      <c r="A571" s="0" t="s">
        <v>1481</v>
      </c>
      <c r="B571" s="0" t="s">
        <v>1482</v>
      </c>
      <c r="C571" s="0" t="s">
        <v>1483</v>
      </c>
      <c r="D571" s="0">
        <f dt2D="0" dtr="0">HYPERLINK("https://www.icra.in/Rating/RatingDetails?CompanyId=0&amp;CompanyName=Easternzone Industries Private Limited", "Rationale")</f>
        <v/>
      </c>
    </row>
    <row r="572">
      <c r="A572" s="0" t="s">
        <v>1484</v>
      </c>
      <c r="B572" s="0" t="s">
        <v>1485</v>
      </c>
      <c r="C572" s="0" t="s">
        <v>1486</v>
      </c>
      <c r="D572" s="0">
        <f dt2D="0" dtr="0">HYPERLINK("https://www.icra.in/Rating/RatingDetails?CompanyId=0&amp;CompanyName=Eastmade Spices &amp; Herbs Pvt. Ltd.", "Rationale")</f>
        <v/>
      </c>
    </row>
    <row r="573">
      <c r="A573" s="0" t="s">
        <v>1487</v>
      </c>
      <c r="B573" s="0" t="s">
        <v>1488</v>
      </c>
      <c r="C573" s="0" t="s">
        <v>1489</v>
      </c>
      <c r="D573" s="0">
        <f dt2D="0" dtr="0">HYPERLINK("https://www.icra.in/Rating/RatingDetails?CompanyId=0&amp;CompanyName=Eastman Mettcast Limited", "Rationale")</f>
        <v/>
      </c>
    </row>
    <row r="574">
      <c r="A574" s="0" t="s">
        <v>1490</v>
      </c>
      <c r="B574" s="0" t="s">
        <v>1491</v>
      </c>
      <c r="C574" s="0" t="s">
        <v>33</v>
      </c>
      <c r="D574" s="0">
        <f dt2D="0" dtr="0">HYPERLINK("https://www.icra.in/Rating/RatingDetails?CompanyId=0&amp;CompanyName=Echjay Forgings Private Limited", "Rationale")</f>
        <v/>
      </c>
    </row>
    <row r="575">
      <c r="A575" s="0" t="s">
        <v>1492</v>
      </c>
      <c r="B575" s="0" t="s">
        <v>1493</v>
      </c>
      <c r="C575" s="0" t="s">
        <v>1494</v>
      </c>
      <c r="D575" s="0">
        <f dt2D="0" dtr="0">HYPERLINK("https://www.icra.in/Rating/RatingDetails?CompanyId=0&amp;CompanyName=Eco Chimneys Private Limited", "Rationale")</f>
        <v/>
      </c>
    </row>
    <row r="576">
      <c r="A576" s="0" t="s">
        <v>1495</v>
      </c>
      <c r="B576" s="0" t="s">
        <v>1496</v>
      </c>
      <c r="C576" s="0" t="s">
        <v>1497</v>
      </c>
      <c r="D576" s="0">
        <f dt2D="0" dtr="0">HYPERLINK("https://www.icra.in/Rating/RatingDetails?CompanyId=0&amp;CompanyName=Eid Mohammad Nizamuddin", "Rationale")</f>
        <v/>
      </c>
    </row>
    <row r="577">
      <c r="A577" s="0" t="s">
        <v>1498</v>
      </c>
      <c r="B577" s="0" t="s">
        <v>1499</v>
      </c>
      <c r="C577" s="0" t="s">
        <v>394</v>
      </c>
      <c r="D577" s="0">
        <f dt2D="0" dtr="0">HYPERLINK("https://www.icra.in/Rating/RatingDetails?CompanyId=0&amp;CompanyName=Ekam Agro Private Limited", "Rationale")</f>
        <v/>
      </c>
    </row>
    <row r="578">
      <c r="A578" s="0" t="s">
        <v>1500</v>
      </c>
      <c r="B578" s="0" t="s">
        <v>1501</v>
      </c>
      <c r="C578" s="0" t="s">
        <v>1502</v>
      </c>
      <c r="D578" s="0">
        <f dt2D="0" dtr="0">HYPERLINK("https://www.icra.in/Rating/RatingDetails?CompanyId=0&amp;CompanyName=Ekta Electricals", "Rationale")</f>
        <v/>
      </c>
    </row>
    <row r="579">
      <c r="A579" s="0" t="s">
        <v>1503</v>
      </c>
      <c r="B579" s="0" t="s">
        <v>1504</v>
      </c>
      <c r="C579" s="0" t="s">
        <v>763</v>
      </c>
      <c r="D579" s="0">
        <f dt2D="0" dtr="0">HYPERLINK("https://www.icra.in/Rating/RatingDetails?CompanyId=0&amp;CompanyName=Ekta Trust", "Rationale")</f>
        <v/>
      </c>
    </row>
    <row r="580">
      <c r="A580" s="0" t="s">
        <v>1505</v>
      </c>
      <c r="B580" s="0" t="s">
        <v>1506</v>
      </c>
      <c r="C580" s="0" t="s">
        <v>1269</v>
      </c>
      <c r="D580" s="0">
        <f dt2D="0" dtr="0">HYPERLINK("https://www.icra.in/Rating/RatingDetails?CompanyId=0&amp;CompanyName=Electro Polychem Limited", "Rationale")</f>
        <v/>
      </c>
    </row>
    <row r="581">
      <c r="A581" s="0" t="s">
        <v>1507</v>
      </c>
      <c r="B581" s="0" t="s">
        <v>1508</v>
      </c>
      <c r="C581" s="0" t="s">
        <v>1509</v>
      </c>
      <c r="D581" s="0">
        <f dt2D="0" dtr="0">HYPERLINK("https://www.icra.in/Rating/RatingDetails?CompanyId=0&amp;CompanyName=Elite Shelters", "Rationale")</f>
        <v/>
      </c>
    </row>
    <row r="582">
      <c r="A582" s="0" t="s">
        <v>1510</v>
      </c>
      <c r="B582" s="0" t="s">
        <v>1511</v>
      </c>
      <c r="C582" s="0" t="s">
        <v>789</v>
      </c>
      <c r="D582" s="0">
        <f dt2D="0" dtr="0">HYPERLINK("https://www.icra.in/Rating/RatingDetails?CompanyId=0&amp;CompanyName=Elmot Alternators Private Limited", "Rationale")</f>
        <v/>
      </c>
    </row>
    <row r="583">
      <c r="A583" s="0" t="s">
        <v>1512</v>
      </c>
      <c r="B583" s="0" t="s">
        <v>1513</v>
      </c>
      <c r="C583" s="0" t="s">
        <v>885</v>
      </c>
      <c r="D583" s="0">
        <f dt2D="0" dtr="0">HYPERLINK("https://www.icra.in/Rating/RatingDetails?CompanyId=0&amp;CompanyName=Eluru Municipal Corporation", "Rationale")</f>
        <v/>
      </c>
    </row>
    <row r="584">
      <c r="A584" s="0" t="s">
        <v>1514</v>
      </c>
      <c r="B584" s="0" t="s">
        <v>1515</v>
      </c>
      <c r="C584" s="0" t="s">
        <v>1516</v>
      </c>
      <c r="D584" s="0">
        <f dt2D="0" dtr="0">HYPERLINK("https://www.icra.in/Rating/RatingDetails?CompanyId=0&amp;CompanyName=Embee Ferro Alloy Pvt Ltd", "Rationale")</f>
        <v/>
      </c>
    </row>
    <row r="585">
      <c r="A585" s="0" t="s">
        <v>1517</v>
      </c>
      <c r="B585" s="0" t="s">
        <v>1518</v>
      </c>
      <c r="C585" s="0" t="s">
        <v>1519</v>
      </c>
      <c r="D585" s="0">
        <f dt2D="0" dtr="0">HYPERLINK("https://www.icra.in/Rating/RatingDetails?CompanyId=0&amp;CompanyName=Emerald Alchymicus Private Limited", "Rationale")</f>
        <v/>
      </c>
    </row>
    <row r="586">
      <c r="A586" s="0" t="s">
        <v>1520</v>
      </c>
      <c r="B586" s="0" t="s">
        <v>1521</v>
      </c>
      <c r="C586" s="0" t="s">
        <v>1522</v>
      </c>
      <c r="D586" s="0">
        <f dt2D="0" dtr="0">HYPERLINK("https://www.icra.in/Rating/RatingDetails?CompanyId=0&amp;CompanyName=Eminent Dealers Pvt. Ltd.", "Rationale")</f>
        <v/>
      </c>
    </row>
    <row r="587">
      <c r="A587" s="0" t="s">
        <v>1523</v>
      </c>
      <c r="B587" s="0" t="s">
        <v>1524</v>
      </c>
      <c r="C587" s="0" t="s">
        <v>71</v>
      </c>
      <c r="D587" s="0">
        <f dt2D="0" dtr="0">HYPERLINK("https://www.icra.in/Rating/RatingDetails?CompanyId=0&amp;CompanyName=Emmennar Pharma Private Limited", "Rationale")</f>
        <v/>
      </c>
    </row>
    <row r="588">
      <c r="A588" s="0" t="s">
        <v>1525</v>
      </c>
      <c r="B588" s="0" t="s">
        <v>1526</v>
      </c>
      <c r="C588" s="0" t="s">
        <v>433</v>
      </c>
      <c r="D588" s="0">
        <f dt2D="0" dtr="0">HYPERLINK("https://www.icra.in/Rating/RatingDetails?CompanyId=0&amp;CompanyName=Empee Sugars and Chemicals Limited", "Rationale")</f>
        <v/>
      </c>
    </row>
    <row r="589">
      <c r="A589" s="0" t="s">
        <v>1527</v>
      </c>
      <c r="B589" s="0" t="s">
        <v>1528</v>
      </c>
      <c r="C589" s="0" t="s">
        <v>483</v>
      </c>
      <c r="D589" s="0">
        <f dt2D="0" dtr="0">HYPERLINK("https://www.icra.in/Rating/RatingDetails?CompanyId=0&amp;CompanyName=Encarta Pharma Private Limited", "Rationale")</f>
        <v/>
      </c>
    </row>
    <row r="590">
      <c r="A590" s="0" t="s">
        <v>1529</v>
      </c>
      <c r="B590" s="0" t="s">
        <v>1530</v>
      </c>
      <c r="C590" s="0" t="s">
        <v>146</v>
      </c>
      <c r="D590" s="0">
        <f dt2D="0" dtr="0">HYPERLINK("https://www.icra.in/Rating/RatingDetails?CompanyId=0&amp;CompanyName=Energo Engineering Projects Limited", "Rationale")</f>
        <v/>
      </c>
    </row>
    <row r="591">
      <c r="A591" s="0" t="s">
        <v>1531</v>
      </c>
      <c r="B591" s="0" t="s">
        <v>1532</v>
      </c>
      <c r="C591" s="0" t="s">
        <v>1192</v>
      </c>
      <c r="D591" s="0">
        <f dt2D="0" dtr="0">HYPERLINK("https://www.icra.in/Rating/RatingDetails?CompanyId=0&amp;CompanyName=Eneroil Offshore Drilling Limited", "Rationale")</f>
        <v/>
      </c>
    </row>
    <row r="592">
      <c r="A592" s="0" t="s">
        <v>1533</v>
      </c>
      <c r="B592" s="0" t="s">
        <v>1534</v>
      </c>
      <c r="C592" s="0" t="s">
        <v>92</v>
      </c>
      <c r="D592" s="0">
        <f dt2D="0" dtr="0">HYPERLINK("https://www.icra.in/Rating/RatingDetails?CompanyId=0&amp;CompanyName=Enertech Engineering Private Limited", "Rationale")</f>
        <v/>
      </c>
    </row>
    <row r="593">
      <c r="A593" s="0" t="s">
        <v>1535</v>
      </c>
      <c r="B593" s="0" t="s">
        <v>1536</v>
      </c>
      <c r="C593" s="0" t="s">
        <v>1516</v>
      </c>
      <c r="D593" s="0">
        <f dt2D="0" dtr="0">HYPERLINK("https://www.icra.in/Rating/RatingDetails?CompanyId=0&amp;CompanyName=Enterprising Enterprises", "Rationale")</f>
        <v/>
      </c>
    </row>
    <row r="594">
      <c r="A594" s="0" t="s">
        <v>1537</v>
      </c>
      <c r="B594" s="0" t="s">
        <v>1538</v>
      </c>
      <c r="C594" s="0" t="s">
        <v>394</v>
      </c>
      <c r="D594" s="0">
        <f dt2D="0" dtr="0">HYPERLINK("https://www.icra.in/Rating/RatingDetails?CompanyId=0&amp;CompanyName=Enviro Green Alloys Inc.", "Rationale")</f>
        <v/>
      </c>
    </row>
    <row r="595">
      <c r="A595" s="0" t="s">
        <v>1539</v>
      </c>
      <c r="B595" s="0" t="s">
        <v>1540</v>
      </c>
      <c r="C595" s="0" t="s">
        <v>1541</v>
      </c>
      <c r="D595" s="0">
        <f dt2D="0" dtr="0">HYPERLINK("https://www.icra.in/Rating/RatingDetails?CompanyId=0&amp;CompanyName=Equiplus (India) Exports Private Limited", "Rationale")</f>
        <v/>
      </c>
    </row>
    <row r="596">
      <c r="A596" s="0" t="s">
        <v>1542</v>
      </c>
      <c r="B596" s="0" t="s">
        <v>1543</v>
      </c>
      <c r="C596" s="0" t="s">
        <v>665</v>
      </c>
      <c r="D596" s="0">
        <f dt2D="0" dtr="0">HYPERLINK("https://www.icra.in/Rating/RatingDetails?CompanyId=0&amp;CompanyName=Equipment Fabricators", "Rationale")</f>
        <v/>
      </c>
    </row>
    <row r="597">
      <c r="A597" s="0" t="s">
        <v>1544</v>
      </c>
      <c r="B597" s="0" t="s">
        <v>1545</v>
      </c>
      <c r="C597" s="0" t="s">
        <v>1546</v>
      </c>
      <c r="D597" s="0">
        <f dt2D="0" dtr="0">HYPERLINK("https://www.icra.in/Rating/RatingDetails?CompanyId=0&amp;CompanyName=Erode District Co Operative Milk Producers Union Limited", "Rationale")</f>
        <v/>
      </c>
    </row>
    <row r="598">
      <c r="A598" s="0" t="s">
        <v>1547</v>
      </c>
      <c r="B598" s="0" t="s">
        <v>1548</v>
      </c>
      <c r="C598" s="0" t="s">
        <v>9</v>
      </c>
      <c r="D598" s="0">
        <f dt2D="0" dtr="0">HYPERLINK("https://www.icra.in/Rating/RatingDetails?CompanyId=0&amp;CompanyName=Eros Minerock Products LLP", "Rationale")</f>
        <v/>
      </c>
    </row>
    <row r="599">
      <c r="A599" s="0" t="s">
        <v>1549</v>
      </c>
      <c r="B599" s="0" t="s">
        <v>1550</v>
      </c>
      <c r="C599" s="0" t="s">
        <v>1551</v>
      </c>
      <c r="D599" s="0">
        <f dt2D="0" dtr="0">HYPERLINK("https://www.icra.in/Rating/RatingDetails?CompanyId=0&amp;CompanyName=Esquire Machines Private Limited", "Rationale")</f>
        <v/>
      </c>
    </row>
    <row r="600">
      <c r="A600" s="0" t="s">
        <v>1552</v>
      </c>
      <c r="B600" s="0" t="s">
        <v>1553</v>
      </c>
      <c r="C600" s="0" t="s">
        <v>863</v>
      </c>
      <c r="D600" s="0">
        <f dt2D="0" dtr="0">HYPERLINK("https://www.icra.in/Rating/RatingDetails?CompanyId=0&amp;CompanyName=Ethames Graduate School Private Limited", "Rationale")</f>
        <v/>
      </c>
    </row>
    <row r="601">
      <c r="A601" s="0" t="s">
        <v>1554</v>
      </c>
      <c r="B601" s="0" t="s">
        <v>1555</v>
      </c>
      <c r="C601" s="0" t="s">
        <v>71</v>
      </c>
      <c r="D601" s="0">
        <f dt2D="0" dtr="0">HYPERLINK("https://www.icra.in/Rating/RatingDetails?CompanyId=0&amp;CompanyName=Ethics Polysack LLP", "Rationale")</f>
        <v/>
      </c>
    </row>
    <row r="602">
      <c r="A602" s="0" t="s">
        <v>1556</v>
      </c>
      <c r="B602" s="0" t="s">
        <v>1557</v>
      </c>
      <c r="C602" s="0" t="s">
        <v>103</v>
      </c>
      <c r="D602" s="0">
        <f dt2D="0" dtr="0">HYPERLINK("https://www.icra.in/Rating/RatingDetails?CompanyId=0&amp;CompanyName=Euro Forge Private Limited", "Rationale")</f>
        <v/>
      </c>
    </row>
    <row r="603">
      <c r="A603" s="0" t="s">
        <v>1558</v>
      </c>
      <c r="B603" s="0" t="s">
        <v>1559</v>
      </c>
      <c r="C603" s="0" t="s">
        <v>71</v>
      </c>
      <c r="D603" s="0">
        <f dt2D="0" dtr="0">HYPERLINK("https://www.icra.in/Rating/RatingDetails?CompanyId=0&amp;CompanyName=Euro Pratik Ispat Private Limited", "Rationale")</f>
        <v/>
      </c>
    </row>
    <row r="604">
      <c r="A604" s="0" t="s">
        <v>1560</v>
      </c>
      <c r="B604" s="0" t="s">
        <v>1561</v>
      </c>
      <c r="C604" s="0" t="s">
        <v>50</v>
      </c>
      <c r="D604" s="0">
        <f dt2D="0" dtr="0">HYPERLINK("https://www.icra.in/Rating/RatingDetails?CompanyId=0&amp;CompanyName=Evan Multi Specialty Hospital and Research Centre Private Limited", "Rationale")</f>
        <v/>
      </c>
    </row>
    <row r="605">
      <c r="A605" s="0" t="s">
        <v>1562</v>
      </c>
      <c r="B605" s="0" t="s">
        <v>1563</v>
      </c>
      <c r="C605" s="0" t="s">
        <v>1564</v>
      </c>
      <c r="D605" s="0">
        <f dt2D="0" dtr="0">HYPERLINK("https://www.icra.in/Rating/RatingDetails?CompanyId=0&amp;CompanyName=Everest Sea Foods Exports Pvt Ltd", "Rationale")</f>
        <v/>
      </c>
    </row>
    <row r="606">
      <c r="A606" s="0" t="s">
        <v>1565</v>
      </c>
      <c r="B606" s="0" t="s">
        <v>1566</v>
      </c>
      <c r="C606" s="0" t="s">
        <v>1564</v>
      </c>
      <c r="D606" s="0">
        <f dt2D="0" dtr="0">HYPERLINK("https://www.icra.in/Rating/RatingDetails?CompanyId=0&amp;CompanyName=Everest Sea Foods Pvt Ltd", "Rationale")</f>
        <v/>
      </c>
    </row>
    <row r="607">
      <c r="A607" s="0" t="s">
        <v>1567</v>
      </c>
      <c r="B607" s="0" t="s">
        <v>1568</v>
      </c>
      <c r="C607" s="0" t="s">
        <v>1569</v>
      </c>
      <c r="D607" s="0">
        <f dt2D="0" dtr="0">HYPERLINK("https://www.icra.in/Rating/RatingDetails?CompanyId=0&amp;CompanyName=Evergreen Dooars Tea Pvt. Ltd.", "Rationale")</f>
        <v/>
      </c>
    </row>
    <row r="608">
      <c r="A608" s="0" t="s">
        <v>1570</v>
      </c>
      <c r="B608" s="0" t="s">
        <v>1571</v>
      </c>
      <c r="C608" s="0" t="s">
        <v>1572</v>
      </c>
      <c r="D608" s="0">
        <f dt2D="0" dtr="0">HYPERLINK("https://www.icra.in/Rating/RatingDetails?CompanyId=0&amp;CompanyName=Evergreen Veneers Private Limited", "Rationale")</f>
        <v/>
      </c>
    </row>
    <row r="609">
      <c r="A609" s="0" t="s">
        <v>1573</v>
      </c>
      <c r="B609" s="0" t="s">
        <v>1574</v>
      </c>
      <c r="C609" s="0" t="s">
        <v>1575</v>
      </c>
      <c r="D609" s="0">
        <f dt2D="0" dtr="0">HYPERLINK("https://www.icra.in/Rating/RatingDetails?CompanyId=0&amp;CompanyName=Everlast roofing", "Rationale")</f>
        <v/>
      </c>
    </row>
    <row r="610">
      <c r="A610" s="0" t="s">
        <v>1576</v>
      </c>
      <c r="B610" s="0" t="s">
        <v>1577</v>
      </c>
      <c r="C610" s="0" t="s">
        <v>394</v>
      </c>
      <c r="D610" s="0">
        <f dt2D="0" dtr="0">HYPERLINK("https://www.icra.in/Rating/RatingDetails?CompanyId=0&amp;CompanyName=Evershine Solvex Private Limited", "Rationale")</f>
        <v/>
      </c>
    </row>
    <row r="611">
      <c r="A611" s="0" t="s">
        <v>1578</v>
      </c>
      <c r="B611" s="0" t="s">
        <v>1579</v>
      </c>
      <c r="C611" s="0" t="s">
        <v>71</v>
      </c>
      <c r="D611" s="0">
        <f dt2D="0" dtr="0">HYPERLINK("https://www.icra.in/Rating/RatingDetails?CompanyId=0&amp;CompanyName=Excel Foods Private Limited", "Rationale")</f>
        <v/>
      </c>
    </row>
    <row r="612">
      <c r="A612" s="0" t="s">
        <v>1580</v>
      </c>
      <c r="B612" s="0" t="s">
        <v>1581</v>
      </c>
      <c r="C612" s="0" t="s">
        <v>256</v>
      </c>
      <c r="D612" s="0">
        <f dt2D="0" dtr="0">HYPERLINK("https://www.icra.in/Rating/RatingDetails?CompanyId=0&amp;CompanyName=Exotic Granite LLP", "Rationale")</f>
        <v/>
      </c>
    </row>
    <row r="613">
      <c r="A613" s="0" t="s">
        <v>1582</v>
      </c>
      <c r="B613" s="0" t="s">
        <v>1583</v>
      </c>
      <c r="C613" s="0" t="s">
        <v>71</v>
      </c>
      <c r="D613" s="0">
        <f dt2D="0" dtr="0">HYPERLINK("https://www.icra.in/Rating/RatingDetails?CompanyId=0&amp;CompanyName=Expert Educational and Charitable Foundation", "Rationale")</f>
        <v/>
      </c>
    </row>
    <row r="614">
      <c r="A614" s="0" t="s">
        <v>1584</v>
      </c>
      <c r="B614" s="0" t="s">
        <v>1585</v>
      </c>
      <c r="C614" s="0" t="s">
        <v>855</v>
      </c>
      <c r="D614" s="0">
        <f dt2D="0" dtr="0">HYPERLINK("https://www.icra.in/Rating/RatingDetails?CompanyId=0&amp;CompanyName=F6 Capital and Finance Private Limited", "Rationale")</f>
        <v/>
      </c>
    </row>
    <row r="615">
      <c r="A615" s="0" t="s">
        <v>1586</v>
      </c>
      <c r="B615" s="0" t="s">
        <v>1587</v>
      </c>
      <c r="C615" s="0" t="s">
        <v>1588</v>
      </c>
      <c r="D615" s="0">
        <f dt2D="0" dtr="0">HYPERLINK("https://www.icra.in/Rating/RatingDetails?CompanyId=0&amp;CompanyName=Fairdeal Multifilament Private Limited", "Rationale")</f>
        <v/>
      </c>
    </row>
    <row r="616">
      <c r="A616" s="0" t="s">
        <v>1589</v>
      </c>
      <c r="B616" s="0" t="s">
        <v>1590</v>
      </c>
      <c r="C616" s="0" t="s">
        <v>223</v>
      </c>
      <c r="D616" s="0">
        <f dt2D="0" dtr="0">HYPERLINK("https://www.icra.in/Rating/RatingDetails?CompanyId=0&amp;CompanyName=Fairyland Foundations Private Limited", "Rationale")</f>
        <v/>
      </c>
    </row>
    <row r="617">
      <c r="A617" s="0" t="s">
        <v>1591</v>
      </c>
      <c r="B617" s="0" t="s">
        <v>1592</v>
      </c>
      <c r="C617" s="0" t="s">
        <v>1593</v>
      </c>
      <c r="D617" s="0">
        <f dt2D="0" dtr="0">HYPERLINK("https://www.icra.in/Rating/RatingDetails?CompanyId=0&amp;CompanyName=Falcon Pumps Private Limited", "Rationale")</f>
        <v/>
      </c>
    </row>
    <row r="618">
      <c r="A618" s="0" t="s">
        <v>1594</v>
      </c>
      <c r="B618" s="0" t="s">
        <v>1595</v>
      </c>
      <c r="C618" s="0" t="s">
        <v>50</v>
      </c>
      <c r="D618" s="0">
        <f dt2D="0" dtr="0">HYPERLINK("https://www.icra.in/Rating/RatingDetails?CompanyId=0&amp;CompanyName=Farmico Commodities Limited (erstwhile Wadhwani Commodities Trading Pvt. Ltd.)", "Rationale")</f>
        <v/>
      </c>
    </row>
    <row r="619">
      <c r="A619" s="0" t="s">
        <v>1596</v>
      </c>
      <c r="B619" s="0" t="s">
        <v>1597</v>
      </c>
      <c r="C619" s="0" t="s">
        <v>744</v>
      </c>
      <c r="D619" s="0">
        <f dt2D="0" dtr="0">HYPERLINK("https://www.icra.in/Rating/RatingDetails?CompanyId=0&amp;CompanyName=Farooq Constructions", "Rationale")</f>
        <v/>
      </c>
    </row>
    <row r="620">
      <c r="A620" s="0" t="s">
        <v>1598</v>
      </c>
      <c r="B620" s="0" t="s">
        <v>1599</v>
      </c>
      <c r="C620" s="0" t="s">
        <v>679</v>
      </c>
      <c r="D620" s="0">
        <f dt2D="0" dtr="0">HYPERLINK("https://www.icra.in/Rating/RatingDetails?CompanyId=0&amp;CompanyName=Fashion Flare International Private Limited", "Rationale")</f>
        <v/>
      </c>
    </row>
    <row r="621">
      <c r="A621" s="0" t="s">
        <v>1600</v>
      </c>
      <c r="B621" s="0" t="s">
        <v>1601</v>
      </c>
      <c r="C621" s="0" t="s">
        <v>460</v>
      </c>
      <c r="D621" s="0">
        <f dt2D="0" dtr="0">HYPERLINK("https://www.icra.in/Rating/RatingDetails?CompanyId=0&amp;CompanyName=Fedora Sea Foods Private Limited", "Rationale")</f>
        <v/>
      </c>
    </row>
    <row r="622">
      <c r="A622" s="0" t="s">
        <v>1602</v>
      </c>
      <c r="B622" s="0" t="s">
        <v>1603</v>
      </c>
      <c r="C622" s="0" t="s">
        <v>1604</v>
      </c>
      <c r="D622" s="0">
        <f dt2D="0" dtr="0">HYPERLINK("https://www.icra.in/Rating/RatingDetails?CompanyId=0&amp;CompanyName=Ferromet Steels Private Limited", "Rationale")</f>
        <v/>
      </c>
    </row>
    <row r="623">
      <c r="A623" s="0" t="s">
        <v>1605</v>
      </c>
      <c r="B623" s="0" t="s">
        <v>1606</v>
      </c>
      <c r="C623" s="0" t="s">
        <v>1607</v>
      </c>
      <c r="D623" s="0">
        <f dt2D="0" dtr="0">HYPERLINK("https://www.icra.in/Rating/RatingDetails?CompanyId=0&amp;CompanyName=Fibril Tex Pvt. Ltd.", "Rationale")</f>
        <v/>
      </c>
    </row>
    <row r="624">
      <c r="A624" s="0" t="s">
        <v>1608</v>
      </c>
      <c r="B624" s="0" t="s">
        <v>1609</v>
      </c>
      <c r="C624" s="0" t="s">
        <v>1610</v>
      </c>
      <c r="D624" s="0">
        <f dt2D="0" dtr="0">HYPERLINK("https://www.icra.in/Rating/RatingDetails?CompanyId=0&amp;CompanyName=Fine Facets India Private Limited", "Rationale")</f>
        <v/>
      </c>
    </row>
    <row r="625">
      <c r="A625" s="0" t="s">
        <v>1611</v>
      </c>
      <c r="B625" s="0" t="s">
        <v>1612</v>
      </c>
      <c r="C625" s="0" t="s">
        <v>1613</v>
      </c>
      <c r="D625" s="0">
        <f dt2D="0" dtr="0">HYPERLINK("https://www.icra.in/Rating/RatingDetails?CompanyId=0&amp;CompanyName=Flender Drives Private Limited", "Rationale")</f>
        <v/>
      </c>
    </row>
    <row r="626">
      <c r="A626" s="0" t="s">
        <v>1614</v>
      </c>
      <c r="B626" s="0" t="s">
        <v>1615</v>
      </c>
      <c r="C626" s="0" t="s">
        <v>50</v>
      </c>
      <c r="D626" s="0">
        <f dt2D="0" dtr="0">HYPERLINK("https://www.icra.in/Rating/RatingDetails?CompanyId=0&amp;CompanyName=Flexi Caps &amp; Polymers Private Limited", "Rationale")</f>
        <v/>
      </c>
    </row>
    <row r="627">
      <c r="A627" s="0" t="s">
        <v>1616</v>
      </c>
      <c r="B627" s="0" t="s">
        <v>1617</v>
      </c>
      <c r="C627" s="0" t="s">
        <v>1618</v>
      </c>
      <c r="D627" s="0">
        <f dt2D="0" dtr="0">HYPERLINK("https://www.icra.in/Rating/RatingDetails?CompanyId=0&amp;CompanyName=Flexituff Ventures International Limited", "Rationale")</f>
        <v/>
      </c>
    </row>
    <row r="628">
      <c r="A628" s="0" t="s">
        <v>1619</v>
      </c>
      <c r="B628" s="0" t="s">
        <v>1620</v>
      </c>
      <c r="C628" s="0" t="s">
        <v>634</v>
      </c>
      <c r="D628" s="0">
        <f dt2D="0" dtr="0">HYPERLINK("https://www.icra.in/Rating/RatingDetails?CompanyId=0&amp;CompanyName=Flock Sur India Pvt. Ltd.", "Rationale")</f>
        <v/>
      </c>
    </row>
    <row r="629">
      <c r="A629" s="0" t="s">
        <v>1621</v>
      </c>
      <c r="B629" s="0" t="s">
        <v>1622</v>
      </c>
      <c r="C629" s="0" t="s">
        <v>71</v>
      </c>
      <c r="D629" s="0">
        <f dt2D="0" dtr="0">HYPERLINK("https://www.icra.in/Rating/RatingDetails?CompanyId=0&amp;CompanyName=Flourish Paper and Chemicals Limited", "Rationale")</f>
        <v/>
      </c>
    </row>
    <row r="630">
      <c r="A630" s="0" t="s">
        <v>1623</v>
      </c>
      <c r="B630" s="0" t="s">
        <v>1624</v>
      </c>
      <c r="C630" s="0" t="s">
        <v>1335</v>
      </c>
      <c r="D630" s="0">
        <f dt2D="0" dtr="0">HYPERLINK("https://www.icra.in/Rating/RatingDetails?CompanyId=0&amp;CompanyName=Foods and Feeds", "Rationale")</f>
        <v/>
      </c>
    </row>
    <row r="631">
      <c r="A631" s="0" t="s">
        <v>1625</v>
      </c>
      <c r="B631" s="0" t="s">
        <v>1626</v>
      </c>
      <c r="C631" s="0" t="s">
        <v>897</v>
      </c>
      <c r="D631" s="0">
        <f dt2D="0" dtr="0">HYPERLINK("https://www.icra.in/Rating/RatingDetails?CompanyId=0&amp;CompanyName=Forming India Private Limited", "Rationale")</f>
        <v/>
      </c>
    </row>
    <row r="632">
      <c r="A632" s="0" t="s">
        <v>1627</v>
      </c>
      <c r="B632" s="0" t="s">
        <v>1628</v>
      </c>
      <c r="C632" s="0" t="s">
        <v>1629</v>
      </c>
      <c r="D632" s="0">
        <f dt2D="0" dtr="0">HYPERLINK("https://www.icra.in/Rating/RatingDetails?CompanyId=0&amp;CompanyName=Fortis Healthcare Holdings Private Limited", "Rationale")</f>
        <v/>
      </c>
    </row>
    <row r="633">
      <c r="A633" s="0" t="s">
        <v>1630</v>
      </c>
      <c r="B633" s="0" t="s">
        <v>1631</v>
      </c>
      <c r="C633" s="0" t="s">
        <v>1632</v>
      </c>
      <c r="D633" s="0">
        <f dt2D="0" dtr="0">HYPERLINK("https://www.icra.in/Rating/RatingDetails?CompanyId=0&amp;CompanyName=Fortius Infradevelopers LLP", "Rationale")</f>
        <v/>
      </c>
    </row>
    <row r="634">
      <c r="A634" s="0" t="s">
        <v>1633</v>
      </c>
      <c r="B634" s="0" t="s">
        <v>1634</v>
      </c>
      <c r="C634" s="0" t="s">
        <v>1635</v>
      </c>
      <c r="D634" s="0">
        <f dt2D="0" dtr="0">HYPERLINK("https://www.icra.in/Rating/RatingDetails?CompanyId=0&amp;CompanyName=Fortune Bella Casa (Unit of Bardiya Construction Co. Pvt. Ltd.)", "Rationale")</f>
        <v/>
      </c>
    </row>
    <row r="635">
      <c r="A635" s="0" t="s">
        <v>1636</v>
      </c>
      <c r="B635" s="0" t="s">
        <v>1637</v>
      </c>
      <c r="C635" s="0" t="s">
        <v>1638</v>
      </c>
      <c r="D635" s="0">
        <f dt2D="0" dtr="0">HYPERLINK("https://www.icra.in/Rating/RatingDetails?CompanyId=0&amp;CompanyName=Fortune Foam Pvt. Ltd.", "Rationale")</f>
        <v/>
      </c>
    </row>
    <row r="636">
      <c r="A636" s="0" t="s">
        <v>1639</v>
      </c>
      <c r="B636" s="0" t="s">
        <v>1640</v>
      </c>
      <c r="C636" s="0" t="s">
        <v>983</v>
      </c>
      <c r="D636" s="0">
        <f dt2D="0" dtr="0">HYPERLINK("https://www.icra.in/Rating/RatingDetails?CompanyId=0&amp;CompanyName=Fortune's Sparsh Healthcare Private Limited", "Rationale")</f>
        <v/>
      </c>
    </row>
    <row r="637">
      <c r="A637" s="0" t="s">
        <v>1641</v>
      </c>
      <c r="B637" s="0" t="s">
        <v>1642</v>
      </c>
      <c r="C637" s="0" t="s">
        <v>564</v>
      </c>
      <c r="D637" s="0">
        <f dt2D="0" dtr="0">HYPERLINK("https://www.icra.in/Rating/RatingDetails?CompanyId=0&amp;CompanyName=Four Wheels Auto Private Limited", "Rationale")</f>
        <v/>
      </c>
    </row>
    <row r="638">
      <c r="A638" s="0" t="s">
        <v>1643</v>
      </c>
      <c r="B638" s="0" t="s">
        <v>1644</v>
      </c>
      <c r="C638" s="0" t="s">
        <v>236</v>
      </c>
      <c r="D638" s="0">
        <f dt2D="0" dtr="0">HYPERLINK("https://www.icra.in/Rating/RatingDetails?CompanyId=0&amp;CompanyName=Franco Leome Shoes (P) Ltd.", "Rationale")</f>
        <v/>
      </c>
    </row>
    <row r="639">
      <c r="A639" s="0" t="s">
        <v>1645</v>
      </c>
      <c r="B639" s="0" t="s">
        <v>1646</v>
      </c>
      <c r="C639" s="0" t="s">
        <v>1177</v>
      </c>
      <c r="D639" s="0">
        <f dt2D="0" dtr="0">HYPERLINK("https://www.icra.in/Rating/RatingDetails?CompanyId=0&amp;CompanyName=Frank Lifecare Private Limited", "Rationale")</f>
        <v/>
      </c>
    </row>
    <row r="640">
      <c r="A640" s="0" t="s">
        <v>1647</v>
      </c>
      <c r="B640" s="0" t="s">
        <v>1648</v>
      </c>
      <c r="C640" s="0" t="s">
        <v>71</v>
      </c>
      <c r="D640" s="0">
        <f dt2D="0" dtr="0">HYPERLINK("https://www.icra.in/Rating/RatingDetails?CompanyId=0&amp;CompanyName=French Motor Car Co. Ltd.", "Rationale")</f>
        <v/>
      </c>
    </row>
    <row r="641">
      <c r="A641" s="0" t="s">
        <v>1649</v>
      </c>
      <c r="B641" s="0" t="s">
        <v>1650</v>
      </c>
      <c r="C641" s="0" t="s">
        <v>1651</v>
      </c>
      <c r="D641" s="0">
        <f dt2D="0" dtr="0">HYPERLINK("https://www.icra.in/Rating/RatingDetails?CompanyId=0&amp;CompanyName=Friends Agro Industries", "Rationale")</f>
        <v/>
      </c>
    </row>
    <row r="642">
      <c r="A642" s="0" t="s">
        <v>1652</v>
      </c>
      <c r="B642" s="0" t="s">
        <v>1653</v>
      </c>
      <c r="C642" s="0" t="s">
        <v>1654</v>
      </c>
      <c r="D642" s="0">
        <f dt2D="0" dtr="0">HYPERLINK("https://www.icra.in/Rating/RatingDetails?CompanyId=0&amp;CompanyName=Frontline Builders", "Rationale")</f>
        <v/>
      </c>
    </row>
    <row r="643">
      <c r="A643" s="0" t="s">
        <v>1655</v>
      </c>
      <c r="B643" s="0" t="s">
        <v>1656</v>
      </c>
      <c r="C643" s="0" t="s">
        <v>71</v>
      </c>
      <c r="D643" s="0">
        <f dt2D="0" dtr="0">HYPERLINK("https://www.icra.in/Rating/RatingDetails?CompanyId=0&amp;CompanyName=Fusion Jewellery Manufacturing Co. Pvt. Ltd.", "Rationale")</f>
        <v/>
      </c>
    </row>
    <row r="644">
      <c r="A644" s="0" t="s">
        <v>1657</v>
      </c>
      <c r="B644" s="0" t="s">
        <v>1658</v>
      </c>
      <c r="C644" s="0" t="s">
        <v>1659</v>
      </c>
      <c r="D644" s="0">
        <f dt2D="0" dtr="0">HYPERLINK("https://www.icra.in/Rating/RatingDetails?CompanyId=0&amp;CompanyName=Future Corporate Resources Private Limited", "Rationale")</f>
        <v/>
      </c>
    </row>
    <row r="645">
      <c r="A645" s="0" t="s">
        <v>1660</v>
      </c>
      <c r="B645" s="0" t="s">
        <v>1661</v>
      </c>
      <c r="C645" s="0" t="s">
        <v>1497</v>
      </c>
      <c r="D645" s="0">
        <f dt2D="0" dtr="0">HYPERLINK("https://www.icra.in/Rating/RatingDetails?CompanyId=0&amp;CompanyName=Future Education And Research Trust", "Rationale")</f>
        <v/>
      </c>
    </row>
    <row r="646">
      <c r="A646" s="0" t="s">
        <v>1662</v>
      </c>
      <c r="B646" s="0" t="s">
        <v>1663</v>
      </c>
      <c r="C646" s="0" t="s">
        <v>1664</v>
      </c>
      <c r="D646" s="0">
        <f dt2D="0" dtr="0">HYPERLINK("https://www.icra.in/Rating/RatingDetails?CompanyId=0&amp;CompanyName=Futuristic Diagnostic Imaging Centre Private Limited", "Rationale")</f>
        <v/>
      </c>
    </row>
    <row r="647">
      <c r="A647" s="0" t="s">
        <v>1665</v>
      </c>
      <c r="B647" s="0" t="s">
        <v>1666</v>
      </c>
      <c r="C647" s="0" t="s">
        <v>1667</v>
      </c>
      <c r="D647" s="0">
        <f dt2D="0" dtr="0">HYPERLINK("https://www.icra.in/Rating/RatingDetails?CompanyId=0&amp;CompanyName=G Khanna &amp; Co.", "Rationale")</f>
        <v/>
      </c>
    </row>
    <row r="648">
      <c r="A648" s="0" t="s">
        <v>1668</v>
      </c>
      <c r="B648" s="0" t="s">
        <v>1669</v>
      </c>
      <c r="C648" s="0" t="s">
        <v>380</v>
      </c>
      <c r="D648" s="0">
        <f dt2D="0" dtr="0">HYPERLINK("https://www.icra.in/Rating/RatingDetails?CompanyId=0&amp;CompanyName=G N Altech", "Rationale")</f>
        <v/>
      </c>
    </row>
    <row r="649">
      <c r="A649" s="0" t="s">
        <v>1670</v>
      </c>
      <c r="B649" s="0" t="s">
        <v>1671</v>
      </c>
      <c r="C649" s="0" t="s">
        <v>457</v>
      </c>
      <c r="D649" s="0">
        <f dt2D="0" dtr="0">HYPERLINK("https://www.icra.in/Rating/RatingDetails?CompanyId=0&amp;CompanyName=G Ramamoorthi Constructions India Private Limited", "Rationale")</f>
        <v/>
      </c>
    </row>
    <row r="650">
      <c r="A650" s="0" t="s">
        <v>1672</v>
      </c>
      <c r="B650" s="0" t="s">
        <v>1673</v>
      </c>
      <c r="C650" s="0" t="s">
        <v>1674</v>
      </c>
      <c r="D650" s="0">
        <f dt2D="0" dtr="0">HYPERLINK("https://www.icra.in/Rating/RatingDetails?CompanyId=0&amp;CompanyName=G. M. Exports", "Rationale")</f>
        <v/>
      </c>
    </row>
    <row r="651">
      <c r="A651" s="0" t="s">
        <v>1675</v>
      </c>
      <c r="B651" s="0" t="s">
        <v>1676</v>
      </c>
      <c r="C651" s="0" t="s">
        <v>1674</v>
      </c>
      <c r="D651" s="0">
        <f dt2D="0" dtr="0">HYPERLINK("https://www.icra.in/Rating/RatingDetails?CompanyId=0&amp;CompanyName=G. R. Weavers Private Ltd.", "Rationale")</f>
        <v/>
      </c>
    </row>
    <row r="652">
      <c r="A652" s="0" t="s">
        <v>1677</v>
      </c>
      <c r="B652" s="0" t="s">
        <v>1678</v>
      </c>
      <c r="C652" s="0" t="s">
        <v>351</v>
      </c>
      <c r="D652" s="0">
        <f dt2D="0" dtr="0">HYPERLINK("https://www.icra.in/Rating/RatingDetails?CompanyId=0&amp;CompanyName=G.M. Fabrics Private Limited", "Rationale")</f>
        <v/>
      </c>
    </row>
    <row r="653">
      <c r="A653" s="0" t="s">
        <v>1679</v>
      </c>
      <c r="B653" s="0" t="s">
        <v>1680</v>
      </c>
      <c r="C653" s="0" t="s">
        <v>1681</v>
      </c>
      <c r="D653" s="0">
        <f dt2D="0" dtr="0">HYPERLINK("https://www.icra.in/Rating/RatingDetails?CompanyId=0&amp;CompanyName=G.M. Pens International Private Limited", "Rationale")</f>
        <v/>
      </c>
    </row>
    <row r="654">
      <c r="A654" s="0" t="s">
        <v>1682</v>
      </c>
      <c r="B654" s="0" t="s">
        <v>1683</v>
      </c>
      <c r="C654" s="0" t="s">
        <v>1684</v>
      </c>
      <c r="D654" s="0">
        <f dt2D="0" dtr="0">HYPERLINK("https://www.icra.in/Rating/RatingDetails?CompanyId=0&amp;CompanyName=G.M. Syntex Pvt. Ltd.", "Rationale")</f>
        <v/>
      </c>
    </row>
    <row r="655">
      <c r="A655" s="0" t="s">
        <v>1685</v>
      </c>
      <c r="B655" s="0" t="s">
        <v>1686</v>
      </c>
      <c r="C655" s="0" t="s">
        <v>50</v>
      </c>
      <c r="D655" s="0">
        <f dt2D="0" dtr="0">HYPERLINK("https://www.icra.in/Rating/RatingDetails?CompanyId=0&amp;CompanyName=G.N. Bullion Private Limited", "Rationale")</f>
        <v/>
      </c>
    </row>
    <row r="656">
      <c r="A656" s="0" t="s">
        <v>1687</v>
      </c>
      <c r="B656" s="0" t="s">
        <v>1688</v>
      </c>
      <c r="C656" s="0" t="s">
        <v>71</v>
      </c>
      <c r="D656" s="0">
        <f dt2D="0" dtr="0">HYPERLINK("https://www.icra.in/Rating/RatingDetails?CompanyId=0&amp;CompanyName=G3 Motors Limited (Erstwhile G3 Motors Pvt. Ltd.)", "Rationale")</f>
        <v/>
      </c>
    </row>
    <row r="657">
      <c r="A657" s="0" t="s">
        <v>1689</v>
      </c>
      <c r="B657" s="0" t="s">
        <v>1690</v>
      </c>
      <c r="C657" s="0" t="s">
        <v>1541</v>
      </c>
      <c r="D657" s="0">
        <f dt2D="0" dtr="0">HYPERLINK("https://www.icra.in/Rating/RatingDetails?CompanyId=0&amp;CompanyName=Gajanand Rice Mill", "Rationale")</f>
        <v/>
      </c>
    </row>
    <row r="658">
      <c r="A658" s="0" t="s">
        <v>1691</v>
      </c>
      <c r="B658" s="0" t="s">
        <v>1692</v>
      </c>
      <c r="C658" s="0" t="s">
        <v>174</v>
      </c>
      <c r="D658" s="0">
        <f dt2D="0" dtr="0">HYPERLINK("https://www.icra.in/Rating/RatingDetails?CompanyId=0&amp;CompanyName=Gajavelli Spinning Mills Private Limited", "Rationale")</f>
        <v/>
      </c>
    </row>
    <row r="659">
      <c r="A659" s="0" t="s">
        <v>1693</v>
      </c>
      <c r="B659" s="0" t="s">
        <v>1694</v>
      </c>
      <c r="C659" s="0" t="s">
        <v>1695</v>
      </c>
      <c r="D659" s="0">
        <f dt2D="0" dtr="0">HYPERLINK("https://www.icra.in/Rating/RatingDetails?CompanyId=0&amp;CompanyName=Gallant Jewelry", "Rationale")</f>
        <v/>
      </c>
    </row>
    <row r="660">
      <c r="A660" s="0" t="s">
        <v>1696</v>
      </c>
      <c r="B660" s="0" t="s">
        <v>1697</v>
      </c>
      <c r="C660" s="0" t="s">
        <v>564</v>
      </c>
      <c r="D660" s="0">
        <f dt2D="0" dtr="0">HYPERLINK("https://www.icra.in/Rating/RatingDetails?CompanyId=0&amp;CompanyName=Ganadhi Pati Construction Private Limited", "Rationale")</f>
        <v/>
      </c>
    </row>
    <row r="661">
      <c r="A661" s="0" t="s">
        <v>1698</v>
      </c>
      <c r="B661" s="0" t="s">
        <v>1699</v>
      </c>
      <c r="C661" s="0" t="s">
        <v>92</v>
      </c>
      <c r="D661" s="0">
        <f dt2D="0" dtr="0">HYPERLINK("https://www.icra.in/Rating/RatingDetails?CompanyId=0&amp;CompanyName=Ganapathi Stone Crusher", "Rationale")</f>
        <v/>
      </c>
    </row>
    <row r="662">
      <c r="A662" s="0" t="s">
        <v>1700</v>
      </c>
      <c r="B662" s="0" t="s">
        <v>1701</v>
      </c>
      <c r="C662" s="0" t="s">
        <v>287</v>
      </c>
      <c r="D662" s="0">
        <f dt2D="0" dtr="0">HYPERLINK("https://www.icra.in/Rating/RatingDetails?CompanyId=0&amp;CompanyName=Ganapati Fishing Lines Pvt Ltd", "Rationale")</f>
        <v/>
      </c>
    </row>
    <row r="663">
      <c r="A663" s="0" t="s">
        <v>1702</v>
      </c>
      <c r="B663" s="0" t="s">
        <v>1703</v>
      </c>
      <c r="C663" s="0" t="s">
        <v>71</v>
      </c>
      <c r="D663" s="0">
        <f dt2D="0" dtr="0">HYPERLINK("https://www.icra.in/Rating/RatingDetails?CompanyId=0&amp;CompanyName=Ganapati Motors", "Rationale")</f>
        <v/>
      </c>
    </row>
    <row r="664">
      <c r="A664" s="0" t="s">
        <v>1704</v>
      </c>
      <c r="B664" s="0" t="s">
        <v>1705</v>
      </c>
      <c r="C664" s="0" t="s">
        <v>346</v>
      </c>
      <c r="D664" s="0">
        <f dt2D="0" dtr="0">HYPERLINK("https://www.icra.in/Rating/RatingDetails?CompanyId=0&amp;CompanyName=Gandhi Enterprises", "Rationale")</f>
        <v/>
      </c>
    </row>
    <row r="665">
      <c r="A665" s="0" t="s">
        <v>1706</v>
      </c>
      <c r="B665" s="0" t="s">
        <v>1707</v>
      </c>
      <c r="C665" s="0" t="s">
        <v>1350</v>
      </c>
      <c r="D665" s="0">
        <f dt2D="0" dtr="0">HYPERLINK("https://www.icra.in/Rating/RatingDetails?CompanyId=0&amp;CompanyName=Ganesh Cars Private Limited", "Rationale")</f>
        <v/>
      </c>
    </row>
    <row r="666">
      <c r="A666" s="0" t="s">
        <v>1708</v>
      </c>
      <c r="B666" s="0" t="s">
        <v>1709</v>
      </c>
      <c r="C666" s="0" t="s">
        <v>71</v>
      </c>
      <c r="D666" s="0">
        <f dt2D="0" dtr="0">HYPERLINK("https://www.icra.in/Rating/RatingDetails?CompanyId=0&amp;CompanyName=Ganga Dairy Limited", "Rationale")</f>
        <v/>
      </c>
    </row>
    <row r="667">
      <c r="A667" s="0" t="s">
        <v>1710</v>
      </c>
      <c r="B667" s="0" t="s">
        <v>1711</v>
      </c>
      <c r="C667" s="0" t="s">
        <v>71</v>
      </c>
      <c r="D667" s="0">
        <f dt2D="0" dtr="0">HYPERLINK("https://www.icra.in/Rating/RatingDetails?CompanyId=0&amp;CompanyName=Ganga Diagnostic &amp; Medical Research Centre Pvt. Ltd.", "Rationale")</f>
        <v/>
      </c>
    </row>
    <row r="668">
      <c r="A668" s="0" t="s">
        <v>1712</v>
      </c>
      <c r="B668" s="0" t="s">
        <v>1713</v>
      </c>
      <c r="C668" s="0" t="s">
        <v>1674</v>
      </c>
      <c r="D668" s="0">
        <f dt2D="0" dtr="0">HYPERLINK("https://www.icra.in/Rating/RatingDetails?CompanyId=0&amp;CompanyName=Ganga Papers India Limited", "Rationale")</f>
        <v/>
      </c>
    </row>
    <row r="669">
      <c r="A669" s="0" t="s">
        <v>1714</v>
      </c>
      <c r="B669" s="0" t="s">
        <v>1715</v>
      </c>
      <c r="C669" s="0" t="s">
        <v>103</v>
      </c>
      <c r="D669" s="0">
        <f dt2D="0" dtr="0">HYPERLINK("https://www.icra.in/Rating/RatingDetails?CompanyId=0&amp;CompanyName=Ganges Ford (Proprietor: Lexicon Commercial Enterprises Limited)", "Rationale")</f>
        <v/>
      </c>
    </row>
    <row r="670">
      <c r="A670" s="0" t="s">
        <v>1716</v>
      </c>
      <c r="B670" s="0" t="s">
        <v>1717</v>
      </c>
      <c r="C670" s="0" t="s">
        <v>1718</v>
      </c>
      <c r="D670" s="0">
        <f dt2D="0" dtr="0">HYPERLINK("https://www.icra.in/Rating/RatingDetails?CompanyId=0&amp;CompanyName=Ganta Sriram Educational Society", "Rationale")</f>
        <v/>
      </c>
    </row>
    <row r="671">
      <c r="A671" s="0" t="s">
        <v>1719</v>
      </c>
      <c r="B671" s="0" t="s">
        <v>1720</v>
      </c>
      <c r="C671" s="0" t="s">
        <v>1721</v>
      </c>
      <c r="D671" s="0">
        <f dt2D="0" dtr="0">HYPERLINK("https://www.icra.in/Rating/RatingDetails?CompanyId=0&amp;CompanyName=Garg Duplex And Paper Mills Private Limited", "Rationale")</f>
        <v/>
      </c>
    </row>
    <row r="672">
      <c r="A672" s="0" t="s">
        <v>1722</v>
      </c>
      <c r="B672" s="0" t="s">
        <v>1723</v>
      </c>
      <c r="C672" s="0" t="s">
        <v>522</v>
      </c>
      <c r="D672" s="0">
        <f dt2D="0" dtr="0">HYPERLINK("https://www.icra.in/Rating/RatingDetails?CompanyId=0&amp;CompanyName=Garg Industries Limited", "Rationale")</f>
        <v/>
      </c>
    </row>
    <row r="673">
      <c r="A673" s="0" t="s">
        <v>1724</v>
      </c>
      <c r="B673" s="0" t="s">
        <v>1725</v>
      </c>
      <c r="C673" s="0" t="s">
        <v>388</v>
      </c>
      <c r="D673" s="0">
        <f dt2D="0" dtr="0">HYPERLINK("https://www.icra.in/Rating/RatingDetails?CompanyId=0&amp;CompanyName=Gargo Traders, B.M. Garg &amp; Others (J.V.)", "Rationale")</f>
        <v/>
      </c>
    </row>
    <row r="674">
      <c r="A674" s="0" t="s">
        <v>1726</v>
      </c>
      <c r="B674" s="0" t="s">
        <v>1727</v>
      </c>
      <c r="C674" s="0" t="s">
        <v>71</v>
      </c>
      <c r="D674" s="0">
        <f dt2D="0" dtr="0">HYPERLINK("https://www.icra.in/Rating/RatingDetails?CompanyId=0&amp;CompanyName=Gaurav Worldwide Trading Private Limited", "Rationale")</f>
        <v/>
      </c>
    </row>
    <row r="675">
      <c r="A675" s="0" t="s">
        <v>1728</v>
      </c>
      <c r="B675" s="0" t="s">
        <v>1729</v>
      </c>
      <c r="C675" s="0" t="s">
        <v>1412</v>
      </c>
      <c r="D675" s="0">
        <f dt2D="0" dtr="0">HYPERLINK("https://www.icra.in/Rating/RatingDetails?CompanyId=0&amp;CompanyName=Gaurishanker Bihani", "Rationale")</f>
        <v/>
      </c>
    </row>
    <row r="676">
      <c r="A676" s="0" t="s">
        <v>1730</v>
      </c>
      <c r="B676" s="0" t="s">
        <v>1731</v>
      </c>
      <c r="C676" s="0" t="s">
        <v>92</v>
      </c>
      <c r="D676" s="0">
        <f dt2D="0" dtr="0">HYPERLINK("https://www.icra.in/Rating/RatingDetails?CompanyId=0&amp;CompanyName=Gav Agro Private Limited", "Rationale")</f>
        <v/>
      </c>
    </row>
    <row r="677">
      <c r="A677" s="0" t="s">
        <v>1732</v>
      </c>
      <c r="B677" s="0" t="s">
        <v>1733</v>
      </c>
      <c r="C677" s="0" t="s">
        <v>1734</v>
      </c>
      <c r="D677" s="0">
        <f dt2D="0" dtr="0">HYPERLINK("https://www.icra.in/Rating/RatingDetails?CompanyId=0&amp;CompanyName=Gayath Industries", "Rationale")</f>
        <v/>
      </c>
    </row>
    <row r="678">
      <c r="A678" s="0" t="s">
        <v>1735</v>
      </c>
      <c r="B678" s="0" t="s">
        <v>1736</v>
      </c>
      <c r="C678" s="0" t="s">
        <v>211</v>
      </c>
      <c r="D678" s="0">
        <f dt2D="0" dtr="0">HYPERLINK("https://www.icra.in/Rating/RatingDetails?CompanyId=0&amp;CompanyName=Gayathri Sustainable Energies India Private Limited", "Rationale")</f>
        <v/>
      </c>
    </row>
    <row r="679">
      <c r="A679" s="0" t="s">
        <v>1737</v>
      </c>
      <c r="B679" s="0" t="s">
        <v>1738</v>
      </c>
      <c r="C679" s="0" t="s">
        <v>1739</v>
      </c>
      <c r="D679" s="0">
        <f dt2D="0" dtr="0">HYPERLINK("https://www.icra.in/Rating/RatingDetails?CompanyId=0&amp;CompanyName=Gayatri Developwell Pvt. Ltd.", "Rationale")</f>
        <v/>
      </c>
    </row>
    <row r="680">
      <c r="A680" s="0" t="s">
        <v>1740</v>
      </c>
      <c r="B680" s="0" t="s">
        <v>1741</v>
      </c>
      <c r="C680" s="0" t="s">
        <v>1742</v>
      </c>
      <c r="D680" s="0">
        <f dt2D="0" dtr="0">HYPERLINK("https://www.icra.in/Rating/RatingDetails?CompanyId=0&amp;CompanyName=Gayatri Iron &amp; Steels", "Rationale")</f>
        <v/>
      </c>
    </row>
    <row r="681">
      <c r="A681" s="0" t="s">
        <v>1743</v>
      </c>
      <c r="B681" s="0" t="s">
        <v>1744</v>
      </c>
      <c r="C681" s="0" t="s">
        <v>1014</v>
      </c>
      <c r="D681" s="0">
        <f dt2D="0" dtr="0">HYPERLINK("https://www.icra.in/Rating/RatingDetails?CompanyId=0&amp;CompanyName=GB Engineering Enterprises Private Limited", "Rationale")</f>
        <v/>
      </c>
    </row>
    <row r="682">
      <c r="A682" s="0" t="s">
        <v>1745</v>
      </c>
      <c r="B682" s="0" t="s">
        <v>1746</v>
      </c>
      <c r="C682" s="0" t="s">
        <v>834</v>
      </c>
      <c r="D682" s="0">
        <f dt2D="0" dtr="0">HYPERLINK("https://www.icra.in/Rating/RatingDetails?CompanyId=0&amp;CompanyName=Geekay Steel Corporation", "Rationale")</f>
        <v/>
      </c>
    </row>
    <row r="683">
      <c r="A683" s="0" t="s">
        <v>1747</v>
      </c>
      <c r="B683" s="0" t="s">
        <v>1748</v>
      </c>
      <c r="C683" s="0" t="s">
        <v>1201</v>
      </c>
      <c r="D683" s="0">
        <f dt2D="0" dtr="0">HYPERLINK("https://www.icra.in/Rating/RatingDetails?CompanyId=0&amp;CompanyName=Geetanjali Agro Industries", "Rationale")</f>
        <v/>
      </c>
    </row>
    <row r="684">
      <c r="A684" s="0" t="s">
        <v>1749</v>
      </c>
      <c r="B684" s="0" t="s">
        <v>1750</v>
      </c>
      <c r="C684" s="0" t="s">
        <v>71</v>
      </c>
      <c r="D684" s="0">
        <f dt2D="0" dtr="0">HYPERLINK("https://www.icra.in/Rating/RatingDetails?CompanyId=0&amp;CompanyName=Geetanjali Ispat &amp; Powers Pvt. Ltd.", "Rationale")</f>
        <v/>
      </c>
    </row>
    <row r="685">
      <c r="A685" s="0" t="s">
        <v>1751</v>
      </c>
      <c r="B685" s="0" t="s">
        <v>1752</v>
      </c>
      <c r="C685" s="0" t="s">
        <v>1753</v>
      </c>
      <c r="D685" s="0">
        <f dt2D="0" dtr="0">HYPERLINK("https://www.icra.in/Rating/RatingDetails?CompanyId=0&amp;CompanyName=Gem Batteries Private Limited", "Rationale")</f>
        <v/>
      </c>
    </row>
    <row r="686">
      <c r="A686" s="0" t="s">
        <v>1754</v>
      </c>
      <c r="B686" s="0" t="s">
        <v>1755</v>
      </c>
      <c r="C686" s="0" t="s">
        <v>1756</v>
      </c>
      <c r="D686" s="0">
        <f dt2D="0" dtr="0">HYPERLINK("https://www.icra.in/Rating/RatingDetails?CompanyId=0&amp;CompanyName=Gemini Developers", "Rationale")</f>
        <v/>
      </c>
    </row>
    <row r="687">
      <c r="A687" s="0" t="s">
        <v>1757</v>
      </c>
      <c r="B687" s="0" t="s">
        <v>1758</v>
      </c>
      <c r="C687" s="0" t="s">
        <v>1759</v>
      </c>
      <c r="D687" s="0">
        <f dt2D="0" dtr="0">HYPERLINK("https://www.icra.in/Rating/RatingDetails?CompanyId=0&amp;CompanyName=Genid Shipping and Logistics Private Limited", "Rationale")</f>
        <v/>
      </c>
    </row>
    <row r="688">
      <c r="A688" s="0" t="s">
        <v>1760</v>
      </c>
      <c r="B688" s="0" t="s">
        <v>1761</v>
      </c>
      <c r="C688" s="0" t="s">
        <v>338</v>
      </c>
      <c r="D688" s="0">
        <f dt2D="0" dtr="0">HYPERLINK("https://www.icra.in/Rating/RatingDetails?CompanyId=0&amp;CompanyName=Ghai Construction Limited", "Rationale")</f>
        <v/>
      </c>
    </row>
    <row r="689">
      <c r="A689" s="0" t="s">
        <v>1762</v>
      </c>
      <c r="B689" s="0" t="s">
        <v>1763</v>
      </c>
      <c r="C689" s="0" t="s">
        <v>1764</v>
      </c>
      <c r="D689" s="0">
        <f dt2D="0" dtr="0">HYPERLINK("https://www.icra.in/Rating/RatingDetails?CompanyId=0&amp;CompanyName=Ghanshyamdas &amp; Company", "Rationale")</f>
        <v/>
      </c>
    </row>
    <row r="690">
      <c r="A690" s="0" t="s">
        <v>1765</v>
      </c>
      <c r="B690" s="0" t="s">
        <v>1766</v>
      </c>
      <c r="C690" s="0" t="s">
        <v>1335</v>
      </c>
      <c r="D690" s="0">
        <f dt2D="0" dtr="0">HYPERLINK("https://www.icra.in/Rating/RatingDetails?CompanyId=0&amp;CompanyName=Ghaziabad Mechfab Private Limited", "Rationale")</f>
        <v/>
      </c>
    </row>
    <row r="691">
      <c r="A691" s="0" t="s">
        <v>1767</v>
      </c>
      <c r="B691" s="0" t="s">
        <v>1768</v>
      </c>
      <c r="C691" s="0" t="s">
        <v>1769</v>
      </c>
      <c r="D691" s="0">
        <f dt2D="0" dtr="0">HYPERLINK("https://www.icra.in/Rating/RatingDetails?CompanyId=0&amp;CompanyName=Ghaziabad Organics Limited", "Rationale")</f>
        <v/>
      </c>
    </row>
    <row r="692">
      <c r="A692" s="0" t="s">
        <v>1770</v>
      </c>
      <c r="B692" s="0" t="s">
        <v>1771</v>
      </c>
      <c r="C692" s="0" t="s">
        <v>825</v>
      </c>
      <c r="D692" s="0">
        <f dt2D="0" dtr="0">HYPERLINK("https://www.icra.in/Rating/RatingDetails?CompanyId=0&amp;CompanyName=Gillco Construction Private Limited", "Rationale")</f>
        <v/>
      </c>
    </row>
    <row r="693">
      <c r="A693" s="0" t="s">
        <v>1772</v>
      </c>
      <c r="B693" s="0" t="s">
        <v>1773</v>
      </c>
      <c r="C693" s="0" t="s">
        <v>1774</v>
      </c>
      <c r="D693" s="0">
        <f dt2D="0" dtr="0">HYPERLINK("https://www.icra.in/Rating/RatingDetails?CompanyId=0&amp;CompanyName=Gillco Developers &amp; Builders Private Limited", "Rationale")</f>
        <v/>
      </c>
    </row>
    <row r="694">
      <c r="A694" s="0" t="s">
        <v>1775</v>
      </c>
      <c r="B694" s="0" t="s">
        <v>1776</v>
      </c>
      <c r="C694" s="0" t="s">
        <v>958</v>
      </c>
      <c r="D694" s="0">
        <f dt2D="0" dtr="0">HYPERLINK("https://www.icra.in/Rating/RatingDetails?CompanyId=0&amp;CompanyName=Ginni Gold Limited", "Rationale")</f>
        <v/>
      </c>
    </row>
    <row r="695">
      <c r="A695" s="0" t="s">
        <v>1777</v>
      </c>
      <c r="B695" s="0" t="s">
        <v>1778</v>
      </c>
      <c r="C695" s="0" t="s">
        <v>1674</v>
      </c>
      <c r="D695" s="0">
        <f dt2D="0" dtr="0">HYPERLINK("https://www.icra.in/Rating/RatingDetails?CompanyId=0&amp;CompanyName=Ginni Holdings", "Rationale")</f>
        <v/>
      </c>
    </row>
    <row r="696">
      <c r="A696" s="0" t="s">
        <v>1779</v>
      </c>
      <c r="B696" s="0" t="s">
        <v>1780</v>
      </c>
      <c r="C696" s="0" t="s">
        <v>1781</v>
      </c>
      <c r="D696" s="0">
        <f dt2D="0" dtr="0">HYPERLINK("https://www.icra.in/Rating/RatingDetails?CompanyId=0&amp;CompanyName=Girdhar Tents Private Limited", "Rationale")</f>
        <v/>
      </c>
    </row>
    <row r="697">
      <c r="A697" s="0" t="s">
        <v>1782</v>
      </c>
      <c r="B697" s="0" t="s">
        <v>1783</v>
      </c>
      <c r="C697" s="0" t="s">
        <v>1784</v>
      </c>
      <c r="D697" s="0">
        <f dt2D="0" dtr="0">HYPERLINK("https://www.icra.in/Rating/RatingDetails?CompanyId=0&amp;CompanyName=Girijashankar Cotton Private Limited", "Rationale")</f>
        <v/>
      </c>
    </row>
    <row r="698">
      <c r="A698" s="0" t="s">
        <v>1785</v>
      </c>
      <c r="B698" s="0" t="s">
        <v>1786</v>
      </c>
      <c r="C698" s="0" t="s">
        <v>497</v>
      </c>
      <c r="D698" s="0">
        <f dt2D="0" dtr="0">HYPERLINK("https://www.icra.in/Rating/RatingDetails?CompanyId=0&amp;CompanyName=Giriraj Industries", "Rationale")</f>
        <v/>
      </c>
    </row>
    <row r="699">
      <c r="A699" s="0" t="s">
        <v>1787</v>
      </c>
      <c r="B699" s="0" t="s">
        <v>1788</v>
      </c>
      <c r="C699" s="0" t="s">
        <v>103</v>
      </c>
      <c r="D699" s="0">
        <f dt2D="0" dtr="0">HYPERLINK("https://www.icra.in/Rating/RatingDetails?CompanyId=0&amp;CompanyName=Giriraj Jewellers Private Limited", "Rationale")</f>
        <v/>
      </c>
    </row>
    <row r="700">
      <c r="A700" s="0" t="s">
        <v>1789</v>
      </c>
      <c r="B700" s="0" t="s">
        <v>1790</v>
      </c>
      <c r="C700" s="0" t="s">
        <v>643</v>
      </c>
      <c r="D700" s="0">
        <f dt2D="0" dtr="0">HYPERLINK("https://www.icra.in/Rating/RatingDetails?CompanyId=0&amp;CompanyName=Giriraj Timber Private Limited", "Rationale")</f>
        <v/>
      </c>
    </row>
    <row r="701">
      <c r="A701" s="0" t="s">
        <v>1791</v>
      </c>
      <c r="B701" s="0" t="s">
        <v>1792</v>
      </c>
      <c r="C701" s="0" t="s">
        <v>1793</v>
      </c>
      <c r="D701" s="0">
        <f dt2D="0" dtr="0">HYPERLINK("https://www.icra.in/Rating/RatingDetails?CompanyId=0&amp;CompanyName=Glazebrooke Trading Private Limited", "Rationale")</f>
        <v/>
      </c>
    </row>
    <row r="702">
      <c r="A702" s="0" t="s">
        <v>1794</v>
      </c>
      <c r="B702" s="0" t="s">
        <v>1795</v>
      </c>
      <c r="C702" s="0" t="s">
        <v>1796</v>
      </c>
      <c r="D702" s="0">
        <f dt2D="0" dtr="0">HYPERLINK("https://www.icra.in/Rating/RatingDetails?CompanyId=0&amp;CompanyName=Glitter Metals Private Limited", "Rationale")</f>
        <v/>
      </c>
    </row>
    <row r="703">
      <c r="A703" s="0" t="s">
        <v>1797</v>
      </c>
      <c r="B703" s="0" t="s">
        <v>1798</v>
      </c>
      <c r="C703" s="0" t="s">
        <v>1799</v>
      </c>
      <c r="D703" s="0">
        <f dt2D="0" dtr="0">HYPERLINK("https://www.icra.in/Rating/RatingDetails?CompanyId=0&amp;CompanyName=Global Buildcon", "Rationale")</f>
        <v/>
      </c>
    </row>
    <row r="704">
      <c r="A704" s="0" t="s">
        <v>1800</v>
      </c>
      <c r="B704" s="0" t="s">
        <v>1801</v>
      </c>
      <c r="C704" s="0" t="s">
        <v>62</v>
      </c>
      <c r="D704" s="0">
        <f dt2D="0" dtr="0">HYPERLINK("https://www.icra.in/Rating/RatingDetails?CompanyId=0&amp;CompanyName=Global Dent Aids Pvt. Ltd.", "Rationale")</f>
        <v/>
      </c>
    </row>
    <row r="705">
      <c r="A705" s="0" t="s">
        <v>1802</v>
      </c>
      <c r="B705" s="0" t="s">
        <v>1803</v>
      </c>
      <c r="C705" s="0" t="s">
        <v>508</v>
      </c>
      <c r="D705" s="0">
        <f dt2D="0" dtr="0">HYPERLINK("https://www.icra.in/Rating/RatingDetails?CompanyId=0&amp;CompanyName=Global Institute of Medical Science &amp; Health Care", "Rationale")</f>
        <v/>
      </c>
    </row>
    <row r="706">
      <c r="A706" s="0" t="s">
        <v>1804</v>
      </c>
      <c r="B706" s="0" t="s">
        <v>1805</v>
      </c>
      <c r="C706" s="0" t="s">
        <v>1651</v>
      </c>
      <c r="D706" s="0">
        <f dt2D="0" dtr="0">HYPERLINK("https://www.icra.in/Rating/RatingDetails?CompanyId=0&amp;CompanyName=Global International Imex Private Limited", "Rationale")</f>
        <v/>
      </c>
    </row>
    <row r="707">
      <c r="A707" s="0" t="s">
        <v>1806</v>
      </c>
      <c r="B707" s="0" t="s">
        <v>1807</v>
      </c>
      <c r="C707" s="0" t="s">
        <v>1808</v>
      </c>
      <c r="D707" s="0">
        <f dt2D="0" dtr="0">HYPERLINK("https://www.icra.in/Rating/RatingDetails?CompanyId=0&amp;CompanyName=Global Metal &amp; Energy Private Limited", "Rationale")</f>
        <v/>
      </c>
    </row>
    <row r="708">
      <c r="A708" s="0" t="s">
        <v>1809</v>
      </c>
      <c r="B708" s="0" t="s">
        <v>1810</v>
      </c>
      <c r="C708" s="0" t="s">
        <v>578</v>
      </c>
      <c r="D708" s="0">
        <f dt2D="0" dtr="0">HYPERLINK("https://www.icra.in/Rating/RatingDetails?CompanyId=0&amp;CompanyName=Globe Civil Projects Private Limited", "Rationale")</f>
        <v/>
      </c>
    </row>
    <row r="709">
      <c r="A709" s="0" t="s">
        <v>1811</v>
      </c>
      <c r="B709" s="0" t="s">
        <v>1812</v>
      </c>
      <c r="C709" s="0" t="s">
        <v>797</v>
      </c>
      <c r="D709" s="0">
        <f dt2D="0" dtr="0">HYPERLINK("https://www.icra.in/Rating/RatingDetails?CompanyId=0&amp;CompanyName=Globus Projects Private Limited", "Rationale")</f>
        <v/>
      </c>
    </row>
    <row r="710">
      <c r="A710" s="0" t="s">
        <v>1813</v>
      </c>
      <c r="B710" s="0" t="s">
        <v>1814</v>
      </c>
      <c r="C710" s="0" t="s">
        <v>1815</v>
      </c>
      <c r="D710" s="0">
        <f dt2D="0" dtr="0">HYPERLINK("https://www.icra.in/Rating/RatingDetails?CompanyId=0&amp;CompanyName=Gloria Engineering Company", "Rationale")</f>
        <v/>
      </c>
    </row>
    <row r="711">
      <c r="A711" s="0" t="s">
        <v>1816</v>
      </c>
      <c r="B711" s="0" t="s">
        <v>1817</v>
      </c>
      <c r="C711" s="0" t="s">
        <v>1818</v>
      </c>
      <c r="D711" s="0">
        <f dt2D="0" dtr="0">HYPERLINK("https://www.icra.in/Rating/RatingDetails?CompanyId=0&amp;CompanyName=GM Sugar &amp; Energy Limited", "Rationale")</f>
        <v/>
      </c>
    </row>
    <row r="712">
      <c r="A712" s="0" t="s">
        <v>1819</v>
      </c>
      <c r="B712" s="0" t="s">
        <v>1820</v>
      </c>
      <c r="C712" s="0" t="s">
        <v>100</v>
      </c>
      <c r="D712" s="0">
        <f dt2D="0" dtr="0">HYPERLINK("https://www.icra.in/Rating/RatingDetails?CompanyId=0&amp;CompanyName=GNI Infrastructure Private Limited", "Rationale")</f>
        <v/>
      </c>
    </row>
    <row r="713">
      <c r="A713" s="0" t="s">
        <v>1821</v>
      </c>
      <c r="B713" s="0" t="s">
        <v>1822</v>
      </c>
      <c r="C713" s="0" t="s">
        <v>1823</v>
      </c>
      <c r="D713" s="0">
        <f dt2D="0" dtr="0">HYPERLINK("https://www.icra.in/Rating/RatingDetails?CompanyId=0&amp;CompanyName=Goa Ispat Private Limited (Formerly known as Goa Ispat Limited)", "Rationale")</f>
        <v/>
      </c>
    </row>
    <row r="714">
      <c r="A714" s="0" t="s">
        <v>1824</v>
      </c>
      <c r="B714" s="0" t="s">
        <v>1825</v>
      </c>
      <c r="C714" s="0" t="s">
        <v>1799</v>
      </c>
      <c r="D714" s="0">
        <f dt2D="0" dtr="0">HYPERLINK("https://www.icra.in/Rating/RatingDetails?CompanyId=0&amp;CompanyName=Godavari Polymers Private Limited", "Rationale")</f>
        <v/>
      </c>
    </row>
    <row r="715">
      <c r="A715" s="0" t="s">
        <v>1826</v>
      </c>
      <c r="B715" s="0" t="s">
        <v>1827</v>
      </c>
      <c r="C715" s="0" t="s">
        <v>1674</v>
      </c>
      <c r="D715" s="0">
        <f dt2D="0" dtr="0">HYPERLINK("https://www.icra.in/Rating/RatingDetails?CompanyId=0&amp;CompanyName=Goel Exim India Private Limited", "Rationale")</f>
        <v/>
      </c>
    </row>
    <row r="716">
      <c r="A716" s="0" t="s">
        <v>1828</v>
      </c>
      <c r="B716" s="0" t="s">
        <v>1829</v>
      </c>
      <c r="C716" s="0" t="s">
        <v>882</v>
      </c>
      <c r="D716" s="0">
        <f dt2D="0" dtr="0">HYPERLINK("https://www.icra.in/Rating/RatingDetails?CompanyId=0&amp;CompanyName=Gokul Cotton Industries", "Rationale")</f>
        <v/>
      </c>
    </row>
    <row r="717">
      <c r="A717" s="0" t="s">
        <v>1830</v>
      </c>
      <c r="B717" s="0" t="s">
        <v>1831</v>
      </c>
      <c r="C717" s="0" t="s">
        <v>1832</v>
      </c>
      <c r="D717" s="0">
        <f dt2D="0" dtr="0">HYPERLINK("https://www.icra.in/Rating/RatingDetails?CompanyId=0&amp;CompanyName=Gold Star Steels (P) Ltd.", "Rationale")</f>
        <v/>
      </c>
    </row>
    <row r="718">
      <c r="A718" s="0" t="s">
        <v>1833</v>
      </c>
      <c r="B718" s="0" t="s">
        <v>1834</v>
      </c>
      <c r="C718" s="0" t="s">
        <v>439</v>
      </c>
      <c r="D718" s="0">
        <f dt2D="0" dtr="0">HYPERLINK("https://www.icra.in/Rating/RatingDetails?CompanyId=0&amp;CompanyName=Golden Fibres Llp", "Rationale")</f>
        <v/>
      </c>
    </row>
    <row r="719">
      <c r="A719" s="0" t="s">
        <v>1835</v>
      </c>
      <c r="B719" s="0" t="s">
        <v>1836</v>
      </c>
      <c r="C719" s="0" t="s">
        <v>421</v>
      </c>
      <c r="D719" s="0">
        <f dt2D="0" dtr="0">HYPERLINK("https://www.icra.in/Rating/RatingDetails?CompanyId=0&amp;CompanyName=Golden Seams Industries Private Limited", "Rationale")</f>
        <v/>
      </c>
    </row>
    <row r="720">
      <c r="A720" s="0" t="s">
        <v>1837</v>
      </c>
      <c r="B720" s="0" t="s">
        <v>1838</v>
      </c>
      <c r="C720" s="0" t="s">
        <v>1839</v>
      </c>
      <c r="D720" s="0">
        <f dt2D="0" dtr="0">HYPERLINK("https://www.icra.in/Rating/RatingDetails?CompanyId=0&amp;CompanyName=Golden Star Designer Private Limited", "Rationale")</f>
        <v/>
      </c>
    </row>
    <row r="721">
      <c r="A721" s="0" t="s">
        <v>1840</v>
      </c>
      <c r="B721" s="0" t="s">
        <v>1841</v>
      </c>
      <c r="C721" s="0" t="s">
        <v>65</v>
      </c>
      <c r="D721" s="0">
        <f dt2D="0" dtr="0">HYPERLINK("https://www.icra.in/Rating/RatingDetails?CompanyId=0&amp;CompanyName=Golden Tobacco Limited", "Rationale")</f>
        <v/>
      </c>
    </row>
    <row r="722">
      <c r="A722" s="0" t="s">
        <v>1842</v>
      </c>
      <c r="B722" s="0" t="s">
        <v>1843</v>
      </c>
      <c r="C722" s="0" t="s">
        <v>1844</v>
      </c>
      <c r="D722" s="0">
        <f dt2D="0" dtr="0">HYPERLINK("https://www.icra.in/Rating/RatingDetails?CompanyId=0&amp;CompanyName=Goldstar Metal Solutions Private Limited", "Rationale")</f>
        <v/>
      </c>
    </row>
    <row r="723">
      <c r="A723" s="0" t="s">
        <v>1845</v>
      </c>
      <c r="B723" s="0" t="s">
        <v>1846</v>
      </c>
      <c r="C723" s="0" t="s">
        <v>430</v>
      </c>
      <c r="D723" s="0">
        <f dt2D="0" dtr="0">HYPERLINK("https://www.icra.in/Rating/RatingDetails?CompanyId=0&amp;CompanyName=Golhar Ginning &amp; Oil Pvt. Ltd.", "Rationale")</f>
        <v/>
      </c>
    </row>
    <row r="724">
      <c r="A724" s="0" t="s">
        <v>1847</v>
      </c>
      <c r="B724" s="0" t="s">
        <v>1848</v>
      </c>
      <c r="C724" s="0" t="s">
        <v>686</v>
      </c>
      <c r="D724" s="0">
        <f dt2D="0" dtr="0">HYPERLINK("https://www.icra.in/Rating/RatingDetails?CompanyId=0&amp;CompanyName=Gomatha Cotton Industries", "Rationale")</f>
        <v/>
      </c>
    </row>
    <row r="725">
      <c r="A725" s="0" t="s">
        <v>1849</v>
      </c>
      <c r="B725" s="0" t="s">
        <v>1850</v>
      </c>
      <c r="C725" s="0" t="s">
        <v>1851</v>
      </c>
      <c r="D725" s="0">
        <f dt2D="0" dtr="0">HYPERLINK("https://www.icra.in/Rating/RatingDetails?CompanyId=0&amp;CompanyName=Gonglu Agro Private Limited", "Rationale")</f>
        <v/>
      </c>
    </row>
    <row r="726">
      <c r="A726" s="0" t="s">
        <v>1852</v>
      </c>
      <c r="B726" s="0" t="s">
        <v>1853</v>
      </c>
      <c r="C726" s="0" t="s">
        <v>1854</v>
      </c>
      <c r="D726" s="0">
        <f dt2D="0" dtr="0">HYPERLINK("https://www.icra.in/Rating/RatingDetails?CompanyId=0&amp;CompanyName=Good Shepherd Educational Trust (Good Shepherd International School)", "Rationale")</f>
        <v/>
      </c>
    </row>
    <row r="727">
      <c r="A727" s="0" t="s">
        <v>1855</v>
      </c>
      <c r="B727" s="0" t="s">
        <v>1856</v>
      </c>
      <c r="C727" s="0" t="s">
        <v>1857</v>
      </c>
      <c r="D727" s="0">
        <f dt2D="0" dtr="0">HYPERLINK("https://www.icra.in/Rating/RatingDetails?CompanyId=0&amp;CompanyName=Goodluck Carbon Private Limited", "Rationale")</f>
        <v/>
      </c>
    </row>
    <row r="728">
      <c r="A728" s="0" t="s">
        <v>1858</v>
      </c>
      <c r="B728" s="0" t="s">
        <v>1859</v>
      </c>
      <c r="C728" s="0" t="s">
        <v>1860</v>
      </c>
      <c r="D728" s="0">
        <f dt2D="0" dtr="0">HYPERLINK("https://www.icra.in/Rating/RatingDetails?CompanyId=0&amp;CompanyName=Goodwill Advance Construction Company Pvt. Ltd.", "Rationale")</f>
        <v/>
      </c>
    </row>
    <row r="729">
      <c r="A729" s="0" t="s">
        <v>1861</v>
      </c>
      <c r="B729" s="0" t="s">
        <v>1862</v>
      </c>
      <c r="C729" s="0" t="s">
        <v>1355</v>
      </c>
      <c r="D729" s="0">
        <f dt2D="0" dtr="0">HYPERLINK("https://www.icra.in/Rating/RatingDetails?CompanyId=0&amp;CompanyName=Goodwill Fabrics Private Limited", "Rationale")</f>
        <v/>
      </c>
    </row>
    <row r="730">
      <c r="A730" s="0" t="s">
        <v>1863</v>
      </c>
      <c r="B730" s="0" t="s">
        <v>1864</v>
      </c>
      <c r="C730" s="0" t="s">
        <v>583</v>
      </c>
      <c r="D730" s="0">
        <f dt2D="0" dtr="0">HYPERLINK("https://www.icra.in/Rating/RatingDetails?CompanyId=0&amp;CompanyName=Gopal Oil Industries", "Rationale")</f>
        <v/>
      </c>
    </row>
    <row r="731">
      <c r="A731" s="0" t="s">
        <v>1865</v>
      </c>
      <c r="B731" s="0" t="s">
        <v>1866</v>
      </c>
      <c r="C731" s="0" t="s">
        <v>1867</v>
      </c>
      <c r="D731" s="0">
        <f dt2D="0" dtr="0">HYPERLINK("https://www.icra.in/Rating/RatingDetails?CompanyId=0&amp;CompanyName=Gopinath Dairy Products Private Limited", "Rationale")</f>
        <v/>
      </c>
    </row>
    <row r="732">
      <c r="A732" s="0" t="s">
        <v>1868</v>
      </c>
      <c r="B732" s="0" t="s">
        <v>1869</v>
      </c>
      <c r="C732" s="0" t="s">
        <v>50</v>
      </c>
      <c r="D732" s="0">
        <f dt2D="0" dtr="0">HYPERLINK("https://www.icra.in/Rating/RatingDetails?CompanyId=0&amp;CompanyName=Gouttephone Technology Private Limited", "Rationale")</f>
        <v/>
      </c>
    </row>
    <row r="733">
      <c r="A733" s="0" t="s">
        <v>1870</v>
      </c>
      <c r="B733" s="0" t="s">
        <v>1871</v>
      </c>
      <c r="C733" s="0" t="s">
        <v>1872</v>
      </c>
      <c r="D733" s="0">
        <f dt2D="0" dtr="0">HYPERLINK("https://www.icra.in/Rating/RatingDetails?CompanyId=0&amp;CompanyName=Govardhan Ispat (India) Pvt Ltd", "Rationale")</f>
        <v/>
      </c>
    </row>
    <row r="734">
      <c r="A734" s="0" t="s">
        <v>1873</v>
      </c>
      <c r="B734" s="0" t="s">
        <v>1874</v>
      </c>
      <c r="C734" s="0" t="s">
        <v>338</v>
      </c>
      <c r="D734" s="0">
        <f dt2D="0" dtr="0">HYPERLINK("https://www.icra.in/Rating/RatingDetails?CompanyId=0&amp;CompanyName=Goverdhan Transport Company Private Limited", "Rationale")</f>
        <v/>
      </c>
    </row>
    <row r="735">
      <c r="A735" s="0" t="s">
        <v>1875</v>
      </c>
      <c r="B735" s="0" t="s">
        <v>1876</v>
      </c>
      <c r="C735" s="0" t="s">
        <v>1877</v>
      </c>
      <c r="D735" s="0">
        <f dt2D="0" dtr="0">HYPERLINK("https://www.icra.in/Rating/RatingDetails?CompanyId=0&amp;CompanyName=Goverdhan Verma Punjab Jewellers Private Limited", "Rationale")</f>
        <v/>
      </c>
    </row>
    <row r="736">
      <c r="A736" s="0" t="s">
        <v>1878</v>
      </c>
      <c r="B736" s="0" t="s">
        <v>1879</v>
      </c>
      <c r="C736" s="0" t="s">
        <v>278</v>
      </c>
      <c r="D736" s="0">
        <f dt2D="0" dtr="0">HYPERLINK("https://www.icra.in/Rating/RatingDetails?CompanyId=0&amp;CompanyName=Govind Cable Industries", "Rationale")</f>
        <v/>
      </c>
    </row>
    <row r="737">
      <c r="A737" s="0" t="s">
        <v>1880</v>
      </c>
      <c r="B737" s="0" t="s">
        <v>1881</v>
      </c>
      <c r="C737" s="0" t="s">
        <v>1764</v>
      </c>
      <c r="D737" s="0">
        <f dt2D="0" dtr="0">HYPERLINK("https://www.icra.in/Rating/RatingDetails?CompanyId=0&amp;CompanyName=Govindbhawan -Karyalaya", "Rationale")</f>
        <v/>
      </c>
    </row>
    <row r="738">
      <c r="A738" s="0" t="s">
        <v>1882</v>
      </c>
      <c r="B738" s="0" t="s">
        <v>1883</v>
      </c>
      <c r="C738" s="0" t="s">
        <v>71</v>
      </c>
      <c r="D738" s="0">
        <f dt2D="0" dtr="0">HYPERLINK("https://www.icra.in/Rating/RatingDetails?CompanyId=0&amp;CompanyName=Goyal Automobiles", "Rationale")</f>
        <v/>
      </c>
    </row>
    <row r="739">
      <c r="A739" s="0" t="s">
        <v>1884</v>
      </c>
      <c r="B739" s="0" t="s">
        <v>1885</v>
      </c>
      <c r="C739" s="0" t="s">
        <v>71</v>
      </c>
      <c r="D739" s="0">
        <f dt2D="0" dtr="0">HYPERLINK("https://www.icra.in/Rating/RatingDetails?CompanyId=0&amp;CompanyName=Goyal Motocorp Private Limited", "Rationale")</f>
        <v/>
      </c>
    </row>
    <row r="740">
      <c r="A740" s="0" t="s">
        <v>1886</v>
      </c>
      <c r="B740" s="0" t="s">
        <v>1887</v>
      </c>
      <c r="C740" s="0" t="s">
        <v>1888</v>
      </c>
      <c r="D740" s="0">
        <f dt2D="0" dtr="0">HYPERLINK("https://www.icra.in/Rating/RatingDetails?CompanyId=0&amp;CompanyName=GR CONSTRUCTIONS", "Rationale")</f>
        <v/>
      </c>
    </row>
    <row r="741">
      <c r="A741" s="0" t="s">
        <v>1889</v>
      </c>
      <c r="B741" s="0" t="s">
        <v>1890</v>
      </c>
      <c r="C741" s="0" t="s">
        <v>1541</v>
      </c>
      <c r="D741" s="0">
        <f dt2D="0" dtr="0">HYPERLINK("https://www.icra.in/Rating/RatingDetails?CompanyId=0&amp;CompanyName=Graduate Agro And Mechanical Engineers", "Rationale")</f>
        <v/>
      </c>
    </row>
    <row r="742">
      <c r="A742" s="0" t="s">
        <v>1891</v>
      </c>
      <c r="B742" s="0" t="s">
        <v>1892</v>
      </c>
      <c r="C742" s="0" t="s">
        <v>1893</v>
      </c>
      <c r="D742" s="0">
        <f dt2D="0" dtr="0">HYPERLINK("https://www.icra.in/Rating/RatingDetails?CompanyId=0&amp;CompanyName=Great Value Fuels Private Limited", "Rationale")</f>
        <v/>
      </c>
    </row>
    <row r="743">
      <c r="A743" s="0" t="s">
        <v>1894</v>
      </c>
      <c r="B743" s="0" t="s">
        <v>1895</v>
      </c>
      <c r="C743" s="0" t="s">
        <v>278</v>
      </c>
      <c r="D743" s="0">
        <f dt2D="0" dtr="0">HYPERLINK("https://www.icra.in/Rating/RatingDetails?CompanyId=0&amp;CompanyName=Green Farm Agri Exports", "Rationale")</f>
        <v/>
      </c>
    </row>
    <row r="744">
      <c r="A744" s="0" t="s">
        <v>1896</v>
      </c>
      <c r="B744" s="0" t="s">
        <v>1897</v>
      </c>
      <c r="C744" s="0" t="s">
        <v>941</v>
      </c>
      <c r="D744" s="0">
        <f dt2D="0" dtr="0">HYPERLINK("https://www.icra.in/Rating/RatingDetails?CompanyId=0&amp;CompanyName=Green Petro Fuels LLP", "Rationale")</f>
        <v/>
      </c>
    </row>
    <row r="745">
      <c r="A745" s="0" t="s">
        <v>1898</v>
      </c>
      <c r="B745" s="0" t="s">
        <v>1899</v>
      </c>
      <c r="C745" s="0" t="s">
        <v>391</v>
      </c>
      <c r="D745" s="0">
        <f dt2D="0" dtr="0">HYPERLINK("https://www.icra.in/Rating/RatingDetails?CompanyId=0&amp;CompanyName=Green Polytubes Pvt Ltd", "Rationale")</f>
        <v/>
      </c>
    </row>
    <row r="746">
      <c r="A746" s="0" t="s">
        <v>1900</v>
      </c>
      <c r="B746" s="0" t="s">
        <v>1901</v>
      </c>
      <c r="C746" s="0" t="s">
        <v>242</v>
      </c>
      <c r="D746" s="0">
        <f dt2D="0" dtr="0">HYPERLINK("https://www.icra.in/Rating/RatingDetails?CompanyId=0&amp;CompanyName=Greenearth Infraventures Pvt Ltd", "Rationale")</f>
        <v/>
      </c>
    </row>
    <row r="747">
      <c r="A747" s="0" t="s">
        <v>1902</v>
      </c>
      <c r="B747" s="0" t="s">
        <v>1903</v>
      </c>
      <c r="C747" s="0" t="s">
        <v>492</v>
      </c>
      <c r="D747" s="0">
        <f dt2D="0" dtr="0">HYPERLINK("https://www.icra.in/Rating/RatingDetails?CompanyId=0&amp;CompanyName=Greenland Motors", "Rationale")</f>
        <v/>
      </c>
    </row>
    <row r="748">
      <c r="A748" s="0" t="s">
        <v>1904</v>
      </c>
      <c r="B748" s="0" t="s">
        <v>1905</v>
      </c>
      <c r="C748" s="0" t="s">
        <v>492</v>
      </c>
      <c r="D748" s="0">
        <f dt2D="0" dtr="0">HYPERLINK("https://www.icra.in/Rating/RatingDetails?CompanyId=0&amp;CompanyName=Greenlands (A&amp;M) Corporation", "Rationale")</f>
        <v/>
      </c>
    </row>
    <row r="749">
      <c r="A749" s="0" t="s">
        <v>1906</v>
      </c>
      <c r="B749" s="0" t="s">
        <v>1907</v>
      </c>
      <c r="C749" s="0" t="s">
        <v>1908</v>
      </c>
      <c r="D749" s="0">
        <f dt2D="0" dtr="0">HYPERLINK("https://www.icra.in/Rating/RatingDetails?CompanyId=0&amp;CompanyName=Greentech Mega Food Park Private Limited", "Rationale")</f>
        <v/>
      </c>
    </row>
    <row r="750">
      <c r="A750" s="0" t="s">
        <v>1909</v>
      </c>
      <c r="B750" s="0" t="s">
        <v>1910</v>
      </c>
      <c r="C750" s="0" t="s">
        <v>1911</v>
      </c>
      <c r="D750" s="0">
        <f dt2D="0" dtr="0">HYPERLINK("https://www.icra.in/Rating/RatingDetails?CompanyId=0&amp;CompanyName=Greenworth Infrastructures Private Limited", "Rationale")</f>
        <v/>
      </c>
    </row>
    <row r="751">
      <c r="A751" s="0" t="s">
        <v>1912</v>
      </c>
      <c r="B751" s="0" t="s">
        <v>1913</v>
      </c>
      <c r="C751" s="0" t="s">
        <v>1914</v>
      </c>
      <c r="D751" s="0">
        <f dt2D="0" dtr="0">HYPERLINK("https://www.icra.in/Rating/RatingDetails?CompanyId=0&amp;CompanyName=Gress Ceramica Private Limited", "Rationale")</f>
        <v/>
      </c>
    </row>
    <row r="752">
      <c r="A752" s="0" t="s">
        <v>1915</v>
      </c>
      <c r="B752" s="0" t="s">
        <v>1916</v>
      </c>
      <c r="C752" s="0" t="s">
        <v>1917</v>
      </c>
      <c r="D752" s="0">
        <f dt2D="0" dtr="0">HYPERLINK("https://www.icra.in/Rating/RatingDetails?CompanyId=0&amp;CompanyName=Greyforce Industries Limited (formerly known as Ganpati Advisory Limited)", "Rationale")</f>
        <v/>
      </c>
    </row>
    <row r="753">
      <c r="A753" s="0" t="s">
        <v>1918</v>
      </c>
      <c r="B753" s="0" t="s">
        <v>1919</v>
      </c>
      <c r="C753" s="0" t="s">
        <v>941</v>
      </c>
      <c r="D753" s="0">
        <f dt2D="0" dtr="0">HYPERLINK("https://www.icra.in/Rating/RatingDetails?CompanyId=0&amp;CompanyName=Gripwell Forging &amp; Tools", "Rationale")</f>
        <v/>
      </c>
    </row>
    <row r="754">
      <c r="A754" s="0" t="s">
        <v>1920</v>
      </c>
      <c r="B754" s="0" t="s">
        <v>1921</v>
      </c>
      <c r="C754" s="0" t="s">
        <v>71</v>
      </c>
      <c r="D754" s="0">
        <f dt2D="0" dtr="0">HYPERLINK("https://www.icra.in/Rating/RatingDetails?CompanyId=0&amp;CompanyName=Grotech Landscape Developers Private Limited", "Rationale")</f>
        <v/>
      </c>
    </row>
    <row r="755">
      <c r="A755" s="0" t="s">
        <v>1922</v>
      </c>
      <c r="B755" s="0" t="s">
        <v>1923</v>
      </c>
      <c r="C755" s="0" t="s">
        <v>1924</v>
      </c>
      <c r="D755" s="0">
        <f dt2D="0" dtr="0">HYPERLINK("https://www.icra.in/Rating/RatingDetails?CompanyId=0&amp;CompanyName=Grow Well Mercantile Private Limited", "Rationale")</f>
        <v/>
      </c>
    </row>
    <row r="756">
      <c r="A756" s="0" t="s">
        <v>1925</v>
      </c>
      <c r="B756" s="0" t="s">
        <v>1926</v>
      </c>
      <c r="C756" s="0" t="s">
        <v>278</v>
      </c>
      <c r="D756" s="0">
        <f dt2D="0" dtr="0">HYPERLINK("https://www.icra.in/Rating/RatingDetails?CompanyId=0&amp;CompanyName=Growmore International Limited", "Rationale")</f>
        <v/>
      </c>
    </row>
    <row r="757">
      <c r="A757" s="0" t="s">
        <v>1927</v>
      </c>
      <c r="B757" s="0" t="s">
        <v>1928</v>
      </c>
      <c r="C757" s="0" t="s">
        <v>1572</v>
      </c>
      <c r="D757" s="0">
        <f dt2D="0" dtr="0">HYPERLINK("https://www.icra.in/Rating/RatingDetails?CompanyId=0&amp;CompanyName=Gruham Exotica", "Rationale")</f>
        <v/>
      </c>
    </row>
    <row r="758">
      <c r="A758" s="0" t="s">
        <v>1929</v>
      </c>
      <c r="B758" s="0" t="s">
        <v>1930</v>
      </c>
      <c r="C758" s="0" t="s">
        <v>1695</v>
      </c>
      <c r="D758" s="0">
        <f dt2D="0" dtr="0">HYPERLINK("https://www.icra.in/Rating/RatingDetails?CompanyId=0&amp;CompanyName=GS Malls Private Limited", "Rationale")</f>
        <v/>
      </c>
    </row>
    <row r="759">
      <c r="A759" s="0" t="s">
        <v>1931</v>
      </c>
      <c r="B759" s="0" t="s">
        <v>1932</v>
      </c>
      <c r="C759" s="0" t="s">
        <v>1551</v>
      </c>
      <c r="D759" s="0">
        <f dt2D="0" dtr="0">HYPERLINK("https://www.icra.in/Rating/RatingDetails?CompanyId=0&amp;CompanyName=GSJ Envo Limited", "Rationale")</f>
        <v/>
      </c>
    </row>
    <row r="760">
      <c r="A760" s="0" t="s">
        <v>1933</v>
      </c>
      <c r="B760" s="0" t="s">
        <v>1934</v>
      </c>
      <c r="C760" s="0" t="s">
        <v>1355</v>
      </c>
      <c r="D760" s="0">
        <f dt2D="0" dtr="0">HYPERLINK("https://www.icra.in/Rating/RatingDetails?CompanyId=0&amp;CompanyName=GSR Movies", "Rationale")</f>
        <v/>
      </c>
    </row>
    <row r="761">
      <c r="A761" s="0" t="s">
        <v>1935</v>
      </c>
      <c r="B761" s="0" t="s">
        <v>1936</v>
      </c>
      <c r="C761" s="0" t="s">
        <v>1400</v>
      </c>
      <c r="D761" s="0">
        <f dt2D="0" dtr="0">HYPERLINK("https://www.icra.in/Rating/RatingDetails?CompanyId=0&amp;CompanyName=GSR Textiles Private Limited", "Rationale")</f>
        <v/>
      </c>
    </row>
    <row r="762">
      <c r="A762" s="0" t="s">
        <v>1937</v>
      </c>
      <c r="B762" s="0" t="s">
        <v>1938</v>
      </c>
      <c r="C762" s="0" t="s">
        <v>1541</v>
      </c>
      <c r="D762" s="0">
        <f dt2D="0" dtr="0">HYPERLINK("https://www.icra.in/Rating/RatingDetails?CompanyId=0&amp;CompanyName=Gudivada Municipality", "Rationale")</f>
        <v/>
      </c>
    </row>
    <row r="763">
      <c r="A763" s="0" t="s">
        <v>1939</v>
      </c>
      <c r="B763" s="0" t="s">
        <v>1940</v>
      </c>
      <c r="C763" s="0" t="s">
        <v>1941</v>
      </c>
      <c r="D763" s="0">
        <f dt2D="0" dtr="0">HYPERLINK("https://www.icra.in/Rating/RatingDetails?CompanyId=0&amp;CompanyName=Gujarat Cotfib", "Rationale")</f>
        <v/>
      </c>
    </row>
    <row r="764">
      <c r="A764" s="0" t="s">
        <v>1942</v>
      </c>
      <c r="B764" s="0" t="s">
        <v>1943</v>
      </c>
      <c r="C764" s="0" t="s">
        <v>290</v>
      </c>
      <c r="D764" s="0">
        <f dt2D="0" dtr="0">HYPERLINK("https://www.icra.in/Rating/RatingDetails?CompanyId=0&amp;CompanyName=Gupta Marriage Halls Private Limited", "Rationale")</f>
        <v/>
      </c>
    </row>
    <row r="765">
      <c r="A765" s="0" t="s">
        <v>1944</v>
      </c>
      <c r="B765" s="0" t="s">
        <v>1945</v>
      </c>
      <c r="C765" s="0" t="s">
        <v>1946</v>
      </c>
      <c r="D765" s="0">
        <f dt2D="0" dtr="0">HYPERLINK("https://www.icra.in/Rating/RatingDetails?CompanyId=0&amp;CompanyName=Gupta Solvent Private Limited", "Rationale")</f>
        <v/>
      </c>
    </row>
    <row r="766">
      <c r="A766" s="0" t="s">
        <v>1947</v>
      </c>
      <c r="B766" s="0" t="s">
        <v>1948</v>
      </c>
      <c r="C766" s="0" t="s">
        <v>1949</v>
      </c>
      <c r="D766" s="0">
        <f dt2D="0" dtr="0">HYPERLINK("https://www.icra.in/Rating/RatingDetails?CompanyId=0&amp;CompanyName=Gurpreet Galvanizing Private Limited", "Rationale")</f>
        <v/>
      </c>
    </row>
    <row r="767">
      <c r="A767" s="0" t="s">
        <v>1950</v>
      </c>
      <c r="B767" s="0" t="s">
        <v>1951</v>
      </c>
      <c r="C767" s="0" t="s">
        <v>92</v>
      </c>
      <c r="D767" s="0">
        <f dt2D="0" dtr="0">HYPERLINK("https://www.icra.in/Rating/RatingDetails?CompanyId=0&amp;CompanyName=Guru Kirana Motors", "Rationale")</f>
        <v/>
      </c>
    </row>
    <row r="768">
      <c r="A768" s="0" t="s">
        <v>1952</v>
      </c>
      <c r="B768" s="0" t="s">
        <v>1953</v>
      </c>
      <c r="C768" s="0" t="s">
        <v>71</v>
      </c>
      <c r="D768" s="0">
        <f dt2D="0" dtr="0">HYPERLINK("https://www.icra.in/Rating/RatingDetails?CompanyId=0&amp;CompanyName=Gurukrupa Corporation", "Rationale")</f>
        <v/>
      </c>
    </row>
    <row r="769">
      <c r="A769" s="0" t="s">
        <v>1954</v>
      </c>
      <c r="B769" s="0" t="s">
        <v>1955</v>
      </c>
      <c r="C769" s="0" t="s">
        <v>1956</v>
      </c>
      <c r="D769" s="0">
        <f dt2D="0" dtr="0">HYPERLINK("https://www.icra.in/Rating/RatingDetails?CompanyId=0&amp;CompanyName=Gurukrupa Cotton &amp; Oil Industries", "Rationale")</f>
        <v/>
      </c>
    </row>
    <row r="770">
      <c r="A770" s="0" t="s">
        <v>1957</v>
      </c>
      <c r="B770" s="0" t="s">
        <v>1958</v>
      </c>
      <c r="C770" s="0" t="s">
        <v>1959</v>
      </c>
      <c r="D770" s="0">
        <f dt2D="0" dtr="0">HYPERLINK("https://www.icra.in/Rating/RatingDetails?CompanyId=0&amp;CompanyName=Gurukrupa Metals", "Rationale")</f>
        <v/>
      </c>
    </row>
    <row r="771">
      <c r="A771" s="0" t="s">
        <v>1960</v>
      </c>
      <c r="B771" s="0" t="s">
        <v>1961</v>
      </c>
      <c r="C771" s="0" t="s">
        <v>1962</v>
      </c>
      <c r="D771" s="0">
        <f dt2D="0" dtr="0">HYPERLINK("https://www.icra.in/Rating/RatingDetails?CompanyId=0&amp;CompanyName=Guruvayoor Infrastructure Private Limited", "Rationale")</f>
        <v/>
      </c>
    </row>
    <row r="772">
      <c r="A772" s="0" t="s">
        <v>1963</v>
      </c>
      <c r="B772" s="0" t="s">
        <v>1964</v>
      </c>
      <c r="C772" s="0" t="s">
        <v>138</v>
      </c>
      <c r="D772" s="0">
        <f dt2D="0" dtr="0">HYPERLINK("https://www.icra.in/Rating/RatingDetails?CompanyId=0&amp;CompanyName=GVK Jaipur Expressway Private Limited", "Rationale")</f>
        <v/>
      </c>
    </row>
    <row r="773">
      <c r="A773" s="0" t="s">
        <v>1965</v>
      </c>
      <c r="B773" s="0" t="s">
        <v>1966</v>
      </c>
      <c r="C773" s="0" t="s">
        <v>1967</v>
      </c>
      <c r="D773" s="0">
        <f dt2D="0" dtr="0">HYPERLINK("https://www.icra.in/Rating/RatingDetails?CompanyId=0&amp;CompanyName=H D Enterprises", "Rationale")</f>
        <v/>
      </c>
    </row>
    <row r="774">
      <c r="A774" s="0" t="s">
        <v>1968</v>
      </c>
      <c r="B774" s="0" t="s">
        <v>1969</v>
      </c>
      <c r="C774" s="0" t="s">
        <v>1970</v>
      </c>
      <c r="D774" s="0">
        <f dt2D="0" dtr="0">HYPERLINK("https://www.icra.in/Rating/RatingDetails?CompanyId=0&amp;CompanyName=H N Construction Private Limited", "Rationale")</f>
        <v/>
      </c>
    </row>
    <row r="775">
      <c r="A775" s="0" t="s">
        <v>1971</v>
      </c>
      <c r="B775" s="0" t="s">
        <v>1972</v>
      </c>
      <c r="C775" s="0" t="s">
        <v>92</v>
      </c>
      <c r="D775" s="0">
        <f dt2D="0" dtr="0">HYPERLINK("https://www.icra.in/Rating/RatingDetails?CompanyId=0&amp;CompanyName=H R Builders", "Rationale")</f>
        <v/>
      </c>
    </row>
    <row r="776">
      <c r="A776" s="0" t="s">
        <v>1973</v>
      </c>
      <c r="B776" s="0" t="s">
        <v>1974</v>
      </c>
      <c r="C776" s="0" t="s">
        <v>71</v>
      </c>
      <c r="D776" s="0">
        <f dt2D="0" dtr="0">HYPERLINK("https://www.icra.in/Rating/RatingDetails?CompanyId=0&amp;CompanyName=H.K. Agro Impex", "Rationale")</f>
        <v/>
      </c>
    </row>
    <row r="777">
      <c r="A777" s="0" t="s">
        <v>1975</v>
      </c>
      <c r="B777" s="0" t="s">
        <v>1976</v>
      </c>
      <c r="C777" s="0" t="s">
        <v>50</v>
      </c>
      <c r="D777" s="0">
        <f dt2D="0" dtr="0">HYPERLINK("https://www.icra.in/Rating/RatingDetails?CompanyId=0&amp;CompanyName=H.M. Industrial Private Limited", "Rationale")</f>
        <v/>
      </c>
    </row>
    <row r="778">
      <c r="A778" s="0" t="s">
        <v>1977</v>
      </c>
      <c r="B778" s="0" t="s">
        <v>1978</v>
      </c>
      <c r="C778" s="0" t="s">
        <v>1979</v>
      </c>
      <c r="D778" s="0">
        <f dt2D="0" dtr="0">HYPERLINK("https://www.icra.in/Rating/RatingDetails?CompanyId=0&amp;CompanyName=H.R. Educational Foundation Trust", "Rationale")</f>
        <v/>
      </c>
    </row>
    <row r="779">
      <c r="A779" s="0" t="s">
        <v>1980</v>
      </c>
      <c r="B779" s="0" t="s">
        <v>1981</v>
      </c>
      <c r="C779" s="0" t="s">
        <v>1982</v>
      </c>
      <c r="D779" s="0">
        <f dt2D="0" dtr="0">HYPERLINK("https://www.icra.in/Rating/RatingDetails?CompanyId=0&amp;CompanyName=H.S. Sandhu Builders Pvt. Ltd.", "Rationale")</f>
        <v/>
      </c>
    </row>
    <row r="780">
      <c r="A780" s="0" t="s">
        <v>1983</v>
      </c>
      <c r="B780" s="0" t="s">
        <v>1984</v>
      </c>
      <c r="C780" s="0" t="s">
        <v>1251</v>
      </c>
      <c r="D780" s="0">
        <f dt2D="0" dtr="0">HYPERLINK("https://www.icra.in/Rating/RatingDetails?CompanyId=0&amp;CompanyName=H.S.Weavers Pvt. Ltd.", "Rationale")</f>
        <v/>
      </c>
    </row>
    <row r="781">
      <c r="A781" s="0" t="s">
        <v>1985</v>
      </c>
      <c r="B781" s="0" t="s">
        <v>1986</v>
      </c>
      <c r="C781" s="0" t="s">
        <v>1987</v>
      </c>
      <c r="D781" s="0">
        <f dt2D="0" dtr="0">HYPERLINK("https://www.icra.in/Rating/RatingDetails?CompanyId=0&amp;CompanyName=Habib Textiles Pvt. Ltd.", "Rationale")</f>
        <v/>
      </c>
    </row>
    <row r="782">
      <c r="A782" s="0" t="s">
        <v>1988</v>
      </c>
      <c r="B782" s="0" t="s">
        <v>1989</v>
      </c>
      <c r="C782" s="0" t="s">
        <v>1990</v>
      </c>
      <c r="D782" s="0">
        <f dt2D="0" dtr="0">HYPERLINK("https://www.icra.in/Rating/RatingDetails?CompanyId=0&amp;CompanyName=Hamsa Minerals &amp; Exports LLP", "Rationale")</f>
        <v/>
      </c>
    </row>
    <row r="783">
      <c r="A783" s="0" t="s">
        <v>1991</v>
      </c>
      <c r="B783" s="0" t="s">
        <v>1992</v>
      </c>
      <c r="C783" s="0" t="s">
        <v>71</v>
      </c>
      <c r="D783" s="0">
        <f dt2D="0" dtr="0">HYPERLINK("https://www.icra.in/Rating/RatingDetails?CompanyId=0&amp;CompanyName=Handloom Bhandar", "Rationale")</f>
        <v/>
      </c>
    </row>
    <row r="784">
      <c r="A784" s="0" t="s">
        <v>1993</v>
      </c>
      <c r="B784" s="0" t="s">
        <v>1994</v>
      </c>
      <c r="C784" s="0" t="s">
        <v>1638</v>
      </c>
      <c r="D784" s="0">
        <f dt2D="0" dtr="0">HYPERLINK("https://www.icra.in/Rating/RatingDetails?CompanyId=0&amp;CompanyName=Hanief Motors", "Rationale")</f>
        <v/>
      </c>
    </row>
    <row r="785">
      <c r="A785" s="0" t="s">
        <v>1995</v>
      </c>
      <c r="B785" s="0" t="s">
        <v>1996</v>
      </c>
      <c r="C785" s="0" t="s">
        <v>71</v>
      </c>
      <c r="D785" s="0">
        <f dt2D="0" dtr="0">HYPERLINK("https://www.icra.in/Rating/RatingDetails?CompanyId=0&amp;CompanyName=Hanuman Agro Products", "Rationale")</f>
        <v/>
      </c>
    </row>
    <row r="786">
      <c r="A786" s="0" t="s">
        <v>1997</v>
      </c>
      <c r="B786" s="0" t="s">
        <v>1998</v>
      </c>
      <c r="C786" s="0" t="s">
        <v>71</v>
      </c>
      <c r="D786" s="0">
        <f dt2D="0" dtr="0">HYPERLINK("https://www.icra.in/Rating/RatingDetails?CompanyId=0&amp;CompanyName=Hanuman Foods", "Rationale")</f>
        <v/>
      </c>
    </row>
    <row r="787">
      <c r="A787" s="0" t="s">
        <v>1999</v>
      </c>
      <c r="B787" s="0" t="s">
        <v>2000</v>
      </c>
      <c r="C787" s="0" t="s">
        <v>39</v>
      </c>
      <c r="D787" s="0">
        <f dt2D="0" dtr="0">HYPERLINK("https://www.icra.in/Rating/RatingDetails?CompanyId=0&amp;CompanyName=Hanuman Rice Mills", "Rationale")</f>
        <v/>
      </c>
    </row>
    <row r="788">
      <c r="A788" s="0" t="s">
        <v>2001</v>
      </c>
      <c r="B788" s="0" t="s">
        <v>2002</v>
      </c>
      <c r="C788" s="0" t="s">
        <v>1588</v>
      </c>
      <c r="D788" s="0">
        <f dt2D="0" dtr="0">HYPERLINK("https://www.icra.in/Rating/RatingDetails?CompanyId=0&amp;CompanyName=Haran Chandra Cold Storage Pvt Ltd", "Rationale")</f>
        <v/>
      </c>
    </row>
    <row r="789">
      <c r="A789" s="0" t="s">
        <v>2003</v>
      </c>
      <c r="B789" s="0" t="s">
        <v>2004</v>
      </c>
      <c r="C789" s="0" t="s">
        <v>50</v>
      </c>
      <c r="D789" s="0">
        <f dt2D="0" dtr="0">HYPERLINK("https://www.icra.in/Rating/RatingDetails?CompanyId=0&amp;CompanyName=Haranai Sahakari Soot Girni Ltd.", "Rationale")</f>
        <v/>
      </c>
    </row>
    <row r="790">
      <c r="A790" s="0" t="s">
        <v>2005</v>
      </c>
      <c r="B790" s="0" t="s">
        <v>2006</v>
      </c>
      <c r="C790" s="0" t="s">
        <v>2007</v>
      </c>
      <c r="D790" s="0">
        <f dt2D="0" dtr="0">HYPERLINK("https://www.icra.in/Rating/RatingDetails?CompanyId=0&amp;CompanyName=Hardev Construction Private Limited", "Rationale")</f>
        <v/>
      </c>
    </row>
    <row r="791">
      <c r="A791" s="0" t="s">
        <v>2008</v>
      </c>
      <c r="B791" s="0" t="s">
        <v>2009</v>
      </c>
      <c r="C791" s="0" t="s">
        <v>171</v>
      </c>
      <c r="D791" s="0">
        <f dt2D="0" dtr="0">HYPERLINK("https://www.icra.in/Rating/RatingDetails?CompanyId=0&amp;CompanyName=Hardik Textiles Pvt Ltd", "Rationale")</f>
        <v/>
      </c>
    </row>
    <row r="792">
      <c r="A792" s="0" t="s">
        <v>2010</v>
      </c>
      <c r="B792" s="0" t="s">
        <v>2011</v>
      </c>
      <c r="C792" s="0" t="s">
        <v>18</v>
      </c>
      <c r="D792" s="0">
        <f dt2D="0" dtr="0">HYPERLINK("https://www.icra.in/Rating/RatingDetails?CompanyId=0&amp;CompanyName=Harekrushna Cottex", "Rationale")</f>
        <v/>
      </c>
    </row>
    <row r="793">
      <c r="A793" s="0" t="s">
        <v>2012</v>
      </c>
      <c r="B793" s="0" t="s">
        <v>2013</v>
      </c>
      <c r="C793" s="0" t="s">
        <v>278</v>
      </c>
      <c r="D793" s="0">
        <f dt2D="0" dtr="0">HYPERLINK("https://www.icra.in/Rating/RatingDetails?CompanyId=0&amp;CompanyName=Hari Kripa Business Ventures Private Limited", "Rationale")</f>
        <v/>
      </c>
    </row>
    <row r="794">
      <c r="A794" s="0" t="s">
        <v>2014</v>
      </c>
      <c r="B794" s="0" t="s">
        <v>2015</v>
      </c>
      <c r="C794" s="0" t="s">
        <v>71</v>
      </c>
      <c r="D794" s="0">
        <f dt2D="0" dtr="0">HYPERLINK("https://www.icra.in/Rating/RatingDetails?CompanyId=0&amp;CompanyName=Hariom Ingots &amp; Power Pvt. Ltd.", "Rationale")</f>
        <v/>
      </c>
    </row>
    <row r="795">
      <c r="A795" s="0" t="s">
        <v>2016</v>
      </c>
      <c r="B795" s="0" t="s">
        <v>2017</v>
      </c>
      <c r="C795" s="0" t="s">
        <v>1917</v>
      </c>
      <c r="D795" s="0">
        <f dt2D="0" dtr="0">HYPERLINK("https://www.icra.in/Rating/RatingDetails?CompanyId=0&amp;CompanyName=Haritha Fertilisers Limited", "Rationale")</f>
        <v/>
      </c>
    </row>
    <row r="796">
      <c r="A796" s="0" t="s">
        <v>2018</v>
      </c>
      <c r="B796" s="0" t="s">
        <v>2019</v>
      </c>
      <c r="C796" s="0" t="s">
        <v>1541</v>
      </c>
      <c r="D796" s="0">
        <f dt2D="0" dtr="0">HYPERLINK("https://www.icra.in/Rating/RatingDetails?CompanyId=0&amp;CompanyName=Harman Agro", "Rationale")</f>
        <v/>
      </c>
    </row>
    <row r="797">
      <c r="A797" s="0" t="s">
        <v>2020</v>
      </c>
      <c r="B797" s="0" t="s">
        <v>2021</v>
      </c>
      <c r="C797" s="0" t="s">
        <v>9</v>
      </c>
      <c r="D797" s="0">
        <f dt2D="0" dtr="0">HYPERLINK("https://www.icra.in/Rating/RatingDetails?CompanyId=0&amp;CompanyName=Harmony Foods Private Limited", "Rationale")</f>
        <v/>
      </c>
    </row>
    <row r="798">
      <c r="A798" s="0" t="s">
        <v>2022</v>
      </c>
      <c r="B798" s="0" t="s">
        <v>2023</v>
      </c>
      <c r="C798" s="0" t="s">
        <v>2024</v>
      </c>
      <c r="D798" s="0">
        <f dt2D="0" dtr="0">HYPERLINK("https://www.icra.in/Rating/RatingDetails?CompanyId=0&amp;CompanyName=Harpreet Color Vision (P) Limited", "Rationale")</f>
        <v/>
      </c>
    </row>
    <row r="799">
      <c r="A799" s="0" t="s">
        <v>2025</v>
      </c>
      <c r="B799" s="0" t="s">
        <v>2026</v>
      </c>
      <c r="C799" s="0" t="s">
        <v>1079</v>
      </c>
      <c r="D799" s="0">
        <f dt2D="0" dtr="0">HYPERLINK("https://www.icra.in/Rating/RatingDetails?CompanyId=0&amp;CompanyName=Harpyari Devi Welfare Society", "Rationale")</f>
        <v/>
      </c>
    </row>
    <row r="800">
      <c r="A800" s="0" t="s">
        <v>2027</v>
      </c>
      <c r="B800" s="0" t="s">
        <v>2028</v>
      </c>
      <c r="C800" s="0" t="s">
        <v>2029</v>
      </c>
      <c r="D800" s="0">
        <f dt2D="0" dtr="0">HYPERLINK("https://www.icra.in/Rating/RatingDetails?CompanyId=0&amp;CompanyName=Harsh Constructions Pvt. Ltd.", "Rationale")</f>
        <v/>
      </c>
    </row>
    <row r="801">
      <c r="A801" s="0" t="s">
        <v>2030</v>
      </c>
      <c r="B801" s="0" t="s">
        <v>2031</v>
      </c>
      <c r="C801" s="0" t="s">
        <v>71</v>
      </c>
      <c r="D801" s="0">
        <f dt2D="0" dtr="0">HYPERLINK("https://www.icra.in/Rating/RatingDetails?CompanyId=0&amp;CompanyName=Harshita Polypack", "Rationale")</f>
        <v/>
      </c>
    </row>
    <row r="802">
      <c r="A802" s="0" t="s">
        <v>2032</v>
      </c>
      <c r="B802" s="0" t="s">
        <v>2033</v>
      </c>
      <c r="C802" s="0" t="s">
        <v>2034</v>
      </c>
      <c r="D802" s="0">
        <f dt2D="0" dtr="0">HYPERLINK("https://www.icra.in/Rating/RatingDetails?CompanyId=0&amp;CompanyName=Hasimara Industries Limited", "Rationale")</f>
        <v/>
      </c>
    </row>
    <row r="803">
      <c r="A803" s="0" t="s">
        <v>2035</v>
      </c>
      <c r="B803" s="0" t="s">
        <v>2036</v>
      </c>
      <c r="C803" s="0" t="s">
        <v>497</v>
      </c>
      <c r="D803" s="0">
        <f dt2D="0" dtr="0">HYPERLINK("https://www.icra.in/Rating/RatingDetails?CompanyId=0&amp;CompanyName=Hbs Realtors Private Limited", "Rationale")</f>
        <v/>
      </c>
    </row>
    <row r="804">
      <c r="A804" s="0" t="s">
        <v>2037</v>
      </c>
      <c r="B804" s="0" t="s">
        <v>2038</v>
      </c>
      <c r="C804" s="0" t="s">
        <v>265</v>
      </c>
      <c r="D804" s="0">
        <f dt2D="0" dtr="0">HYPERLINK("https://www.icra.in/Rating/RatingDetails?CompanyId=0&amp;CompanyName=Hem Ceramics", "Rationale")</f>
        <v/>
      </c>
    </row>
    <row r="805">
      <c r="A805" s="0" t="s">
        <v>2039</v>
      </c>
      <c r="B805" s="0" t="s">
        <v>2040</v>
      </c>
      <c r="C805" s="0" t="s">
        <v>868</v>
      </c>
      <c r="D805" s="0">
        <f dt2D="0" dtr="0">HYPERLINK("https://www.icra.in/Rating/RatingDetails?CompanyId=0&amp;CompanyName=Hemang Resources Limited", "Rationale")</f>
        <v/>
      </c>
    </row>
    <row r="806">
      <c r="A806" s="0" t="s">
        <v>2041</v>
      </c>
      <c r="B806" s="0" t="s">
        <v>2042</v>
      </c>
      <c r="C806" s="0" t="s">
        <v>2043</v>
      </c>
      <c r="D806" s="0">
        <f dt2D="0" dtr="0">HYPERLINK("https://www.icra.in/Rating/RatingDetails?CompanyId=0&amp;CompanyName=Hemant Surgical Industries Limited", "Rationale")</f>
        <v/>
      </c>
    </row>
    <row r="807">
      <c r="A807" s="0" t="s">
        <v>2044</v>
      </c>
      <c r="B807" s="0" t="s">
        <v>2045</v>
      </c>
      <c r="C807" s="0" t="s">
        <v>2046</v>
      </c>
      <c r="D807" s="0">
        <f dt2D="0" dtr="0">HYPERLINK("https://www.icra.in/Rating/RatingDetails?CompanyId=0&amp;CompanyName=Hero Mindmine Institute Private Limited", "Rationale")</f>
        <v/>
      </c>
    </row>
    <row r="808">
      <c r="A808" s="0" t="s">
        <v>2047</v>
      </c>
      <c r="B808" s="0" t="s">
        <v>2048</v>
      </c>
      <c r="C808" s="0" t="s">
        <v>1818</v>
      </c>
      <c r="D808" s="0">
        <f dt2D="0" dtr="0">HYPERLINK("https://www.icra.in/Rating/RatingDetails?CompanyId=0&amp;CompanyName=Heurtey Petrochem India Private Limited", "Rationale")</f>
        <v/>
      </c>
    </row>
    <row r="809">
      <c r="A809" s="0" t="s">
        <v>2049</v>
      </c>
      <c r="B809" s="0" t="s">
        <v>2050</v>
      </c>
      <c r="C809" s="0" t="s">
        <v>1651</v>
      </c>
      <c r="D809" s="0">
        <f dt2D="0" dtr="0">HYPERLINK("https://www.icra.in/Rating/RatingDetails?CompanyId=0&amp;CompanyName=High Tech Fablon Private Limited", "Rationale")</f>
        <v/>
      </c>
    </row>
    <row r="810">
      <c r="A810" s="0" t="s">
        <v>2051</v>
      </c>
      <c r="B810" s="0" t="s">
        <v>2052</v>
      </c>
      <c r="C810" s="0" t="s">
        <v>1651</v>
      </c>
      <c r="D810" s="0">
        <f dt2D="0" dtr="0">HYPERLINK("https://www.icra.in/Rating/RatingDetails?CompanyId=0&amp;CompanyName=High Tech Filatex Private Limited", "Rationale")</f>
        <v/>
      </c>
    </row>
    <row r="811">
      <c r="A811" s="0" t="s">
        <v>2053</v>
      </c>
      <c r="B811" s="0" t="s">
        <v>2054</v>
      </c>
      <c r="C811" s="0" t="s">
        <v>1651</v>
      </c>
      <c r="D811" s="0">
        <f dt2D="0" dtr="0">HYPERLINK("https://www.icra.in/Rating/RatingDetails?CompanyId=0&amp;CompanyName=High Tech Garments Private Limited", "Rationale")</f>
        <v/>
      </c>
    </row>
    <row r="812">
      <c r="A812" s="0" t="s">
        <v>2055</v>
      </c>
      <c r="B812" s="0" t="s">
        <v>2056</v>
      </c>
      <c r="C812" s="0" t="s">
        <v>1651</v>
      </c>
      <c r="D812" s="0">
        <f dt2D="0" dtr="0">HYPERLINK("https://www.icra.in/Rating/RatingDetails?CompanyId=0&amp;CompanyName=High Tech Knitwear Private Limited", "Rationale")</f>
        <v/>
      </c>
    </row>
    <row r="813">
      <c r="A813" s="0" t="s">
        <v>2057</v>
      </c>
      <c r="B813" s="0" t="s">
        <v>2058</v>
      </c>
      <c r="C813" s="0" t="s">
        <v>1651</v>
      </c>
      <c r="D813" s="0">
        <f dt2D="0" dtr="0">HYPERLINK("https://www.icra.in/Rating/RatingDetails?CompanyId=0&amp;CompanyName=High Tech Texolene Limited", "Rationale")</f>
        <v/>
      </c>
    </row>
    <row r="814">
      <c r="A814" s="0" t="s">
        <v>2059</v>
      </c>
      <c r="B814" s="0" t="s">
        <v>2060</v>
      </c>
      <c r="C814" s="0" t="s">
        <v>1651</v>
      </c>
      <c r="D814" s="0">
        <f dt2D="0" dtr="0">HYPERLINK("https://www.icra.in/Rating/RatingDetails?CompanyId=0&amp;CompanyName=High Tech Weaves (India) Private Limited", "Rationale")</f>
        <v/>
      </c>
    </row>
    <row r="815">
      <c r="A815" s="0" t="s">
        <v>2061</v>
      </c>
      <c r="B815" s="0" t="s">
        <v>2062</v>
      </c>
      <c r="C815" s="0" t="s">
        <v>983</v>
      </c>
      <c r="D815" s="0">
        <f dt2D="0" dtr="0">HYPERLINK("https://www.icra.in/Rating/RatingDetails?CompanyId=0&amp;CompanyName=Highco Engineers Private Limited", "Rationale")</f>
        <v/>
      </c>
    </row>
    <row r="816">
      <c r="A816" s="0" t="s">
        <v>2063</v>
      </c>
      <c r="B816" s="0" t="s">
        <v>2064</v>
      </c>
      <c r="C816" s="0" t="s">
        <v>2065</v>
      </c>
      <c r="D816" s="0">
        <f dt2D="0" dtr="0">HYPERLINK("https://www.icra.in/Rating/RatingDetails?CompanyId=0&amp;CompanyName=Highway Engineering Consultants", "Rationale")</f>
        <v/>
      </c>
    </row>
    <row r="817">
      <c r="A817" s="0" t="s">
        <v>2066</v>
      </c>
      <c r="B817" s="0" t="s">
        <v>2067</v>
      </c>
      <c r="C817" s="0" t="s">
        <v>2068</v>
      </c>
      <c r="D817" s="0">
        <f dt2D="0" dtr="0">HYPERLINK("https://www.icra.in/Rating/RatingDetails?CompanyId=0&amp;CompanyName=Hill Stone Ceramic Private Limited", "Rationale")</f>
        <v/>
      </c>
    </row>
    <row r="818">
      <c r="A818" s="0" t="s">
        <v>2069</v>
      </c>
      <c r="B818" s="0" t="s">
        <v>2070</v>
      </c>
      <c r="C818" s="0" t="s">
        <v>918</v>
      </c>
      <c r="D818" s="0">
        <f dt2D="0" dtr="0">HYPERLINK("https://www.icra.in/Rating/RatingDetails?CompanyId=0&amp;CompanyName=Hilltop Ceramic", "Rationale")</f>
        <v/>
      </c>
    </row>
    <row r="819">
      <c r="A819" s="0" t="s">
        <v>2071</v>
      </c>
      <c r="B819" s="0" t="s">
        <v>2072</v>
      </c>
      <c r="C819" s="0" t="s">
        <v>2073</v>
      </c>
      <c r="D819" s="0">
        <f dt2D="0" dtr="0">HYPERLINK("https://www.icra.in/Rating/RatingDetails?CompanyId=0&amp;CompanyName=Hilltop Hirise Private Limited", "Rationale")</f>
        <v/>
      </c>
    </row>
    <row r="820">
      <c r="A820" s="0" t="s">
        <v>2074</v>
      </c>
      <c r="B820" s="0" t="s">
        <v>2075</v>
      </c>
      <c r="C820" s="0" t="s">
        <v>109</v>
      </c>
      <c r="D820" s="0">
        <f dt2D="0" dtr="0">HYPERLINK("https://www.icra.in/Rating/RatingDetails?CompanyId=0&amp;CompanyName=Himalaya Communications Limited", "Rationale")</f>
        <v/>
      </c>
    </row>
    <row r="821">
      <c r="A821" s="0" t="s">
        <v>2076</v>
      </c>
      <c r="B821" s="0" t="s">
        <v>2077</v>
      </c>
      <c r="C821" s="0" t="s">
        <v>773</v>
      </c>
      <c r="D821" s="0">
        <f dt2D="0" dtr="0">HYPERLINK("https://www.icra.in/Rating/RatingDetails?CompanyId=0&amp;CompanyName=Himalaya Food International Ltd.", "Rationale")</f>
        <v/>
      </c>
    </row>
    <row r="822">
      <c r="A822" s="0" t="s">
        <v>2078</v>
      </c>
      <c r="B822" s="0" t="s">
        <v>2079</v>
      </c>
      <c r="C822" s="0" t="s">
        <v>278</v>
      </c>
      <c r="D822" s="0">
        <f dt2D="0" dtr="0">HYPERLINK("https://www.icra.in/Rating/RatingDetails?CompanyId=0&amp;CompanyName=Himangi Foods Private Limited", "Rationale")</f>
        <v/>
      </c>
    </row>
    <row r="823">
      <c r="A823" s="0" t="s">
        <v>2080</v>
      </c>
      <c r="B823" s="0" t="s">
        <v>2081</v>
      </c>
      <c r="C823" s="0" t="s">
        <v>314</v>
      </c>
      <c r="D823" s="0">
        <f dt2D="0" dtr="0">HYPERLINK("https://www.icra.in/Rating/RatingDetails?CompanyId=0&amp;CompanyName=Hindustan Fibre Glass Works", "Rationale")</f>
        <v/>
      </c>
    </row>
    <row r="824">
      <c r="A824" s="0" t="s">
        <v>2082</v>
      </c>
      <c r="B824" s="0" t="s">
        <v>2083</v>
      </c>
      <c r="C824" s="0" t="s">
        <v>81</v>
      </c>
      <c r="D824" s="0">
        <f dt2D="0" dtr="0">HYPERLINK("https://www.icra.in/Rating/RatingDetails?CompanyId=0&amp;CompanyName=Hindustan Flour Mills", "Rationale")</f>
        <v/>
      </c>
    </row>
    <row r="825">
      <c r="A825" s="0" t="s">
        <v>2084</v>
      </c>
      <c r="B825" s="0" t="s">
        <v>2085</v>
      </c>
      <c r="C825" s="0" t="s">
        <v>53</v>
      </c>
      <c r="D825" s="0">
        <f dt2D="0" dtr="0">HYPERLINK("https://www.icra.in/Rating/RatingDetails?CompanyId=0&amp;CompanyName=Hindustan Hydraulics Private Limited", "Rationale")</f>
        <v/>
      </c>
    </row>
    <row r="826">
      <c r="A826" s="0" t="s">
        <v>2086</v>
      </c>
      <c r="B826" s="0" t="s">
        <v>2087</v>
      </c>
      <c r="C826" s="0" t="s">
        <v>2088</v>
      </c>
      <c r="D826" s="0">
        <f dt2D="0" dtr="0">HYPERLINK("https://www.icra.in/Rating/RatingDetails?CompanyId=0&amp;CompanyName=Hindustan Mint And Agro Products Private Limited", "Rationale")</f>
        <v/>
      </c>
    </row>
    <row r="827">
      <c r="A827" s="0" t="s">
        <v>2089</v>
      </c>
      <c r="B827" s="0" t="s">
        <v>2090</v>
      </c>
      <c r="C827" s="0" t="s">
        <v>2091</v>
      </c>
      <c r="D827" s="0">
        <f dt2D="0" dtr="0">HYPERLINK("https://www.icra.in/Rating/RatingDetails?CompanyId=0&amp;CompanyName=Hindusthan Calcined Metals Private Limited", "Rationale")</f>
        <v/>
      </c>
    </row>
    <row r="828">
      <c r="A828" s="0" t="s">
        <v>2092</v>
      </c>
      <c r="B828" s="0" t="s">
        <v>2093</v>
      </c>
      <c r="C828" s="0" t="s">
        <v>71</v>
      </c>
      <c r="D828" s="0">
        <f dt2D="0" dtr="0">HYPERLINK("https://www.icra.in/Rating/RatingDetails?CompanyId=0&amp;CompanyName=Hindusthan Malleables &amp; Forgings Ltd.", "Rationale")</f>
        <v/>
      </c>
    </row>
    <row r="829">
      <c r="A829" s="0" t="s">
        <v>2094</v>
      </c>
      <c r="B829" s="0" t="s">
        <v>2095</v>
      </c>
      <c r="C829" s="0" t="s">
        <v>2096</v>
      </c>
      <c r="D829" s="0">
        <f dt2D="0" dtr="0">HYPERLINK("https://www.icra.in/Rating/RatingDetails?CompanyId=0&amp;CompanyName=Hindva Builders", "Rationale")</f>
        <v/>
      </c>
    </row>
    <row r="830">
      <c r="A830" s="0" t="s">
        <v>2097</v>
      </c>
      <c r="B830" s="0" t="s">
        <v>2098</v>
      </c>
      <c r="C830" s="0" t="s">
        <v>752</v>
      </c>
      <c r="D830" s="0">
        <f dt2D="0" dtr="0">HYPERLINK("https://www.icra.in/Rating/RatingDetails?CompanyId=0&amp;CompanyName=Hira Cotton Fibers", "Rationale")</f>
        <v/>
      </c>
    </row>
    <row r="831">
      <c r="A831" s="0" t="s">
        <v>2099</v>
      </c>
      <c r="B831" s="0" t="s">
        <v>2100</v>
      </c>
      <c r="C831" s="0" t="s">
        <v>2101</v>
      </c>
      <c r="D831" s="0">
        <f dt2D="0" dtr="0">HYPERLINK("https://www.icra.in/Rating/RatingDetails?CompanyId=0&amp;CompanyName=Hiraman Developers Private Limited", "Rationale")</f>
        <v/>
      </c>
    </row>
    <row r="832">
      <c r="A832" s="0" t="s">
        <v>2102</v>
      </c>
      <c r="B832" s="0" t="s">
        <v>2103</v>
      </c>
      <c r="C832" s="0" t="s">
        <v>436</v>
      </c>
      <c r="D832" s="0">
        <f dt2D="0" dtr="0">HYPERLINK("https://www.icra.in/Rating/RatingDetails?CompanyId=0&amp;CompanyName=Hiranya Builders Private Limited", "Rationale")</f>
        <v/>
      </c>
    </row>
    <row r="833">
      <c r="A833" s="0" t="s">
        <v>2104</v>
      </c>
      <c r="B833" s="0" t="s">
        <v>2105</v>
      </c>
      <c r="C833" s="0" t="s">
        <v>2106</v>
      </c>
      <c r="D833" s="0">
        <f dt2D="0" dtr="0">HYPERLINK("https://www.icra.in/Rating/RatingDetails?CompanyId=0&amp;CompanyName=HiTech Cellphone Private Limited", "Rationale")</f>
        <v/>
      </c>
    </row>
    <row r="834">
      <c r="A834" s="0" t="s">
        <v>2107</v>
      </c>
      <c r="B834" s="0" t="s">
        <v>2108</v>
      </c>
      <c r="C834" s="0" t="s">
        <v>1742</v>
      </c>
      <c r="D834" s="0">
        <f dt2D="0" dtr="0">HYPERLINK("https://www.icra.in/Rating/RatingDetails?CompanyId=0&amp;CompanyName=Hi-Tech Frozen Facilities Private Limited", "Rationale")</f>
        <v/>
      </c>
    </row>
    <row r="835">
      <c r="A835" s="0" t="s">
        <v>2109</v>
      </c>
      <c r="B835" s="0" t="s">
        <v>2110</v>
      </c>
      <c r="C835" s="0" t="s">
        <v>2111</v>
      </c>
      <c r="D835" s="0">
        <f dt2D="0" dtr="0">HYPERLINK("https://www.icra.in/Rating/RatingDetails?CompanyId=0&amp;CompanyName=Hitesh Plastics Private Limited", "Rationale")</f>
        <v/>
      </c>
    </row>
    <row r="836">
      <c r="A836" s="0" t="s">
        <v>2112</v>
      </c>
      <c r="B836" s="0" t="s">
        <v>2113</v>
      </c>
      <c r="C836" s="0" t="s">
        <v>2114</v>
      </c>
      <c r="D836" s="0">
        <f dt2D="0" dtr="0">HYPERLINK("https://www.icra.in/Rating/RatingDetails?CompanyId=0&amp;CompanyName=HLL Biotech Limited", "Rationale")</f>
        <v/>
      </c>
    </row>
    <row r="837">
      <c r="A837" s="0" t="s">
        <v>2115</v>
      </c>
      <c r="B837" s="0" t="s">
        <v>2116</v>
      </c>
      <c r="C837" s="0" t="s">
        <v>1340</v>
      </c>
      <c r="D837" s="0">
        <f dt2D="0" dtr="0">HYPERLINK("https://www.icra.in/Rating/RatingDetails?CompanyId=0&amp;CompanyName=HLL MediPark Limited", "Rationale")</f>
        <v/>
      </c>
    </row>
    <row r="838">
      <c r="A838" s="0" t="s">
        <v>2117</v>
      </c>
      <c r="B838" s="0" t="s">
        <v>2118</v>
      </c>
      <c r="C838" s="0" t="s">
        <v>430</v>
      </c>
      <c r="D838" s="0">
        <f dt2D="0" dtr="0">HYPERLINK("https://www.icra.in/Rating/RatingDetails?CompanyId=0&amp;CompanyName=Homera Tanning Industries Private Limited", "Rationale")</f>
        <v/>
      </c>
    </row>
    <row r="839">
      <c r="A839" s="0" t="s">
        <v>2119</v>
      </c>
      <c r="B839" s="0" t="s">
        <v>2120</v>
      </c>
      <c r="C839" s="0" t="s">
        <v>2121</v>
      </c>
      <c r="D839" s="0">
        <f dt2D="0" dtr="0">HYPERLINK("https://www.icra.in/Rating/RatingDetails?CompanyId=0&amp;CompanyName=Honest Derivatives Private Limited", "Rationale")</f>
        <v/>
      </c>
    </row>
    <row r="840">
      <c r="A840" s="0" t="s">
        <v>2122</v>
      </c>
      <c r="B840" s="0" t="s">
        <v>2123</v>
      </c>
      <c r="C840" s="0" t="s">
        <v>665</v>
      </c>
      <c r="D840" s="0">
        <f dt2D="0" dtr="0">HYPERLINK("https://www.icra.in/Rating/RatingDetails?CompanyId=0&amp;CompanyName=Hooghly Alloy &amp; Steels Co. Private Limited", "Rationale")</f>
        <v/>
      </c>
    </row>
    <row r="841">
      <c r="A841" s="0" t="s">
        <v>2124</v>
      </c>
      <c r="B841" s="0" t="s">
        <v>2125</v>
      </c>
      <c r="C841" s="0" t="s">
        <v>558</v>
      </c>
      <c r="D841" s="0">
        <f dt2D="0" dtr="0">HYPERLINK("https://www.icra.in/Rating/RatingDetails?CompanyId=0&amp;CompanyName=Hooghly Shipbreakers Limited", "Rationale")</f>
        <v/>
      </c>
    </row>
    <row r="842">
      <c r="A842" s="0" t="s">
        <v>2126</v>
      </c>
      <c r="B842" s="0" t="s">
        <v>2127</v>
      </c>
      <c r="C842" s="0" t="s">
        <v>2128</v>
      </c>
      <c r="D842" s="0">
        <f dt2D="0" dtr="0">HYPERLINK("https://www.icra.in/Rating/RatingDetails?CompanyId=0&amp;CompanyName=Hosley India Private Limited", "Rationale")</f>
        <v/>
      </c>
    </row>
    <row r="843">
      <c r="A843" s="0" t="s">
        <v>2129</v>
      </c>
      <c r="B843" s="0" t="s">
        <v>2130</v>
      </c>
      <c r="C843" s="0" t="s">
        <v>2131</v>
      </c>
      <c r="D843" s="0">
        <f dt2D="0" dtr="0">HYPERLINK("https://www.icra.in/Rating/RatingDetails?CompanyId=0&amp;CompanyName=Hotcrete Infrastructure Pvt. Ltd.", "Rationale")</f>
        <v/>
      </c>
    </row>
    <row r="844">
      <c r="A844" s="0" t="s">
        <v>2132</v>
      </c>
      <c r="B844" s="0" t="s">
        <v>2133</v>
      </c>
      <c r="C844" s="0" t="s">
        <v>2134</v>
      </c>
      <c r="D844" s="0">
        <f dt2D="0" dtr="0">HYPERLINK("https://www.icra.in/Rating/RatingDetails?CompanyId=0&amp;CompanyName=House of Plastic", "Rationale")</f>
        <v/>
      </c>
    </row>
    <row r="845">
      <c r="A845" s="0" t="s">
        <v>2135</v>
      </c>
      <c r="B845" s="0" t="s">
        <v>2136</v>
      </c>
      <c r="C845" s="0" t="s">
        <v>1572</v>
      </c>
      <c r="D845" s="0">
        <f dt2D="0" dtr="0">HYPERLINK("https://www.icra.in/Rating/RatingDetails?CompanyId=0&amp;CompanyName=Hrm Overseas", "Rationale")</f>
        <v/>
      </c>
    </row>
    <row r="846">
      <c r="A846" s="0" t="s">
        <v>2137</v>
      </c>
      <c r="B846" s="0" t="s">
        <v>2138</v>
      </c>
      <c r="C846" s="0" t="s">
        <v>27</v>
      </c>
      <c r="D846" s="0">
        <f dt2D="0" dtr="0">HYPERLINK("https://www.icra.in/Rating/RatingDetails?CompanyId=0&amp;CompanyName=Hyderabad Metropolitan Water Supply And Sewerage Board", "Rationale")</f>
        <v/>
      </c>
    </row>
    <row r="847">
      <c r="A847" s="0" t="s">
        <v>2139</v>
      </c>
      <c r="B847" s="0" t="s">
        <v>2140</v>
      </c>
      <c r="C847" s="0" t="s">
        <v>71</v>
      </c>
      <c r="D847" s="0">
        <f dt2D="0" dtr="0">HYPERLINK("https://www.icra.in/Rating/RatingDetails?CompanyId=0&amp;CompanyName=Hyderabad Steels", "Rationale")</f>
        <v/>
      </c>
    </row>
    <row r="848">
      <c r="A848" s="0" t="s">
        <v>2141</v>
      </c>
      <c r="B848" s="0" t="s">
        <v>2142</v>
      </c>
      <c r="C848" s="0" t="s">
        <v>2143</v>
      </c>
      <c r="D848" s="0">
        <f dt2D="0" dtr="0">HYPERLINK("https://www.icra.in/Rating/RatingDetails?CompanyId=0&amp;CompanyName=Hydrobaths Ramco Marketing Private Limited", "Rationale")</f>
        <v/>
      </c>
    </row>
    <row r="849">
      <c r="A849" s="0" t="s">
        <v>2144</v>
      </c>
      <c r="B849" s="0" t="s">
        <v>2145</v>
      </c>
      <c r="C849" s="0" t="s">
        <v>71</v>
      </c>
      <c r="D849" s="0">
        <f dt2D="0" dtr="0">HYPERLINK("https://www.icra.in/Rating/RatingDetails?CompanyId=0&amp;CompanyName=Hydromatik", "Rationale")</f>
        <v/>
      </c>
    </row>
    <row r="850">
      <c r="A850" s="0" t="s">
        <v>2146</v>
      </c>
      <c r="B850" s="0" t="s">
        <v>2147</v>
      </c>
      <c r="C850" s="0" t="s">
        <v>734</v>
      </c>
      <c r="D850" s="0">
        <f dt2D="0" dtr="0">HYPERLINK("https://www.icra.in/Rating/RatingDetails?CompanyId=0&amp;CompanyName=IBD Nalanda Infrastructure Pvt. Ltd.", "Rationale")</f>
        <v/>
      </c>
    </row>
    <row r="851">
      <c r="A851" s="0" t="s">
        <v>2148</v>
      </c>
      <c r="B851" s="0" t="s">
        <v>2149</v>
      </c>
      <c r="C851" s="0" t="s">
        <v>439</v>
      </c>
      <c r="D851" s="0">
        <f dt2D="0" dtr="0">HYPERLINK("https://www.icra.in/Rating/RatingDetails?CompanyId=0&amp;CompanyName=Ibd Universal Pvt. Ltd.", "Rationale")</f>
        <v/>
      </c>
    </row>
    <row r="852">
      <c r="A852" s="0" t="s">
        <v>2150</v>
      </c>
      <c r="B852" s="0" t="s">
        <v>2151</v>
      </c>
      <c r="C852" s="0" t="s">
        <v>2152</v>
      </c>
      <c r="D852" s="0">
        <f dt2D="0" dtr="0">HYPERLINK("https://www.icra.in/Rating/RatingDetails?CompanyId=0&amp;CompanyName=Ibus Network &amp; Infrastructure Private Limited", "Rationale")</f>
        <v/>
      </c>
    </row>
    <row r="853">
      <c r="A853" s="0" t="s">
        <v>2153</v>
      </c>
      <c r="B853" s="0" t="s">
        <v>2154</v>
      </c>
      <c r="C853" s="0" t="s">
        <v>2155</v>
      </c>
      <c r="D853" s="0">
        <f dt2D="0" dtr="0">HYPERLINK("https://www.icra.in/Rating/RatingDetails?CompanyId=0&amp;CompanyName=IC India Pvt. Ltd", "Rationale")</f>
        <v/>
      </c>
    </row>
    <row r="854">
      <c r="A854" s="0" t="s">
        <v>2156</v>
      </c>
      <c r="B854" s="0" t="s">
        <v>2157</v>
      </c>
      <c r="C854" s="0" t="s">
        <v>2158</v>
      </c>
      <c r="D854" s="0">
        <f dt2D="0" dtr="0">HYPERLINK("https://www.icra.in/Rating/RatingDetails?CompanyId=0&amp;CompanyName=Icewear Creation", "Rationale")</f>
        <v/>
      </c>
    </row>
    <row r="855">
      <c r="A855" s="0" t="s">
        <v>2159</v>
      </c>
      <c r="B855" s="0" t="s">
        <v>2160</v>
      </c>
      <c r="C855" s="0" t="s">
        <v>1572</v>
      </c>
      <c r="D855" s="0">
        <f dt2D="0" dtr="0">HYPERLINK("https://www.icra.in/Rating/RatingDetails?CompanyId=0&amp;CompanyName=IL&amp;FS Financial Services Limited", "Rationale")</f>
        <v/>
      </c>
    </row>
    <row r="856">
      <c r="A856" s="0" t="s">
        <v>2161</v>
      </c>
      <c r="B856" s="0" t="s">
        <v>2162</v>
      </c>
      <c r="C856" s="0" t="s">
        <v>2163</v>
      </c>
      <c r="D856" s="0">
        <f dt2D="0" dtr="0">HYPERLINK("https://www.icra.in/Rating/RatingDetails?CompanyId=0&amp;CompanyName=IL&amp;FS Securities Services Limited", "Rationale")</f>
        <v/>
      </c>
    </row>
    <row r="857">
      <c r="A857" s="0" t="s">
        <v>2164</v>
      </c>
      <c r="B857" s="0" t="s">
        <v>2165</v>
      </c>
      <c r="C857" s="0" t="s">
        <v>2166</v>
      </c>
      <c r="D857" s="0">
        <f dt2D="0" dtr="0">HYPERLINK("https://www.icra.in/Rating/RatingDetails?CompanyId=0&amp;CompanyName=IL&amp;FS Solar Power Limited", "Rationale")</f>
        <v/>
      </c>
    </row>
    <row r="858">
      <c r="A858" s="0" t="s">
        <v>2167</v>
      </c>
      <c r="B858" s="0" t="s">
        <v>2168</v>
      </c>
      <c r="C858" s="0" t="s">
        <v>2169</v>
      </c>
      <c r="D858" s="0">
        <f dt2D="0" dtr="0">HYPERLINK("https://www.icra.in/Rating/RatingDetails?CompanyId=0&amp;CompanyName=IL&amp;FS Transportation Networks Limited", "Rationale")</f>
        <v/>
      </c>
    </row>
    <row r="859">
      <c r="A859" s="0" t="s">
        <v>2170</v>
      </c>
      <c r="B859" s="0" t="s">
        <v>2171</v>
      </c>
      <c r="C859" s="0" t="s">
        <v>2172</v>
      </c>
      <c r="D859" s="0">
        <f dt2D="0" dtr="0">HYPERLINK("https://www.icra.in/Rating/RatingDetails?CompanyId=0&amp;CompanyName=IMI Abrasives (P) Ltd.", "Rationale")</f>
        <v/>
      </c>
    </row>
    <row r="860">
      <c r="A860" s="0" t="s">
        <v>2173</v>
      </c>
      <c r="B860" s="0" t="s">
        <v>2174</v>
      </c>
      <c r="C860" s="0" t="s">
        <v>399</v>
      </c>
      <c r="D860" s="0">
        <f dt2D="0" dtr="0">HYPERLINK("https://www.icra.in/Rating/RatingDetails?CompanyId=0&amp;CompanyName=Imperial Tubes Private Limited", "Rationale")</f>
        <v/>
      </c>
    </row>
    <row r="861">
      <c r="A861" s="0" t="s">
        <v>2175</v>
      </c>
      <c r="B861" s="0" t="s">
        <v>2176</v>
      </c>
      <c r="C861" s="0" t="s">
        <v>2177</v>
      </c>
      <c r="D861" s="0">
        <f dt2D="0" dtr="0">HYPERLINK("https://www.icra.in/Rating/RatingDetails?CompanyId=0&amp;CompanyName=Imperiall Technoforge Private Limited", "Rationale")</f>
        <v/>
      </c>
    </row>
    <row r="862">
      <c r="A862" s="0" t="s">
        <v>2178</v>
      </c>
      <c r="B862" s="0" t="s">
        <v>2179</v>
      </c>
      <c r="C862" s="0" t="s">
        <v>2180</v>
      </c>
      <c r="D862" s="0">
        <f dt2D="0" dtr="0">HYPERLINK("https://www.icra.in/Rating/RatingDetails?CompanyId=0&amp;CompanyName=Indera Ethnic &amp; Designs Private Limited", "Rationale")</f>
        <v/>
      </c>
    </row>
    <row r="863">
      <c r="A863" s="0" t="s">
        <v>2181</v>
      </c>
      <c r="B863" s="0" t="s">
        <v>2182</v>
      </c>
      <c r="C863" s="0" t="s">
        <v>92</v>
      </c>
      <c r="D863" s="0">
        <f dt2D="0" dtr="0">HYPERLINK("https://www.icra.in/Rating/RatingDetails?CompanyId=0&amp;CompanyName=India Dairy Products Limited", "Rationale")</f>
        <v/>
      </c>
    </row>
    <row r="864">
      <c r="A864" s="0" t="s">
        <v>2183</v>
      </c>
      <c r="B864" s="0" t="s">
        <v>2184</v>
      </c>
      <c r="C864" s="0" t="s">
        <v>430</v>
      </c>
      <c r="D864" s="0">
        <f dt2D="0" dtr="0">HYPERLINK("https://www.icra.in/Rating/RatingDetails?CompanyId=0&amp;CompanyName=Indian Construction Company", "Rationale")</f>
        <v/>
      </c>
    </row>
    <row r="865">
      <c r="A865" s="0" t="s">
        <v>2185</v>
      </c>
      <c r="B865" s="0" t="s">
        <v>2186</v>
      </c>
      <c r="C865" s="0" t="s">
        <v>6</v>
      </c>
      <c r="D865" s="0">
        <f dt2D="0" dtr="0">HYPERLINK("https://www.icra.in/Rating/RatingDetails?CompanyId=0&amp;CompanyName=Indian Crop Science Private Limited", "Rationale")</f>
        <v/>
      </c>
    </row>
    <row r="866">
      <c r="A866" s="0" t="s">
        <v>2187</v>
      </c>
      <c r="B866" s="0" t="s">
        <v>2188</v>
      </c>
      <c r="C866" s="0" t="s">
        <v>278</v>
      </c>
      <c r="D866" s="0">
        <f dt2D="0" dtr="0">HYPERLINK("https://www.icra.in/Rating/RatingDetails?CompanyId=0&amp;CompanyName=Indian Furniture Products Limited", "Rationale")</f>
        <v/>
      </c>
    </row>
    <row r="867">
      <c r="A867" s="0" t="s">
        <v>2189</v>
      </c>
      <c r="B867" s="0" t="s">
        <v>2190</v>
      </c>
      <c r="C867" s="0" t="s">
        <v>50</v>
      </c>
      <c r="D867" s="0">
        <f dt2D="0" dtr="0">HYPERLINK("https://www.icra.in/Rating/RatingDetails?CompanyId=0&amp;CompanyName=Indian Gem &amp; Jewellery Imperial Private Limited", "Rationale")</f>
        <v/>
      </c>
    </row>
    <row r="868">
      <c r="A868" s="0" t="s">
        <v>2191</v>
      </c>
      <c r="B868" s="0" t="s">
        <v>2192</v>
      </c>
      <c r="C868" s="0" t="s">
        <v>21</v>
      </c>
      <c r="D868" s="0">
        <f dt2D="0" dtr="0">HYPERLINK("https://www.icra.in/Rating/RatingDetails?CompanyId=0&amp;CompanyName=Indian Pulp &amp; Paper Private Limited", "Rationale")</f>
        <v/>
      </c>
    </row>
    <row r="869">
      <c r="A869" s="0" t="s">
        <v>2193</v>
      </c>
      <c r="B869" s="0" t="s">
        <v>2194</v>
      </c>
      <c r="C869" s="0" t="s">
        <v>2195</v>
      </c>
      <c r="D869" s="0">
        <f dt2D="0" dtr="0">HYPERLINK("https://www.icra.in/Rating/RatingDetails?CompanyId=0&amp;CompanyName=Indian Steel Corporation Limited", "Rationale")</f>
        <v/>
      </c>
    </row>
    <row r="870">
      <c r="A870" s="0" t="s">
        <v>2196</v>
      </c>
      <c r="B870" s="0" t="s">
        <v>2197</v>
      </c>
      <c r="C870" s="0" t="s">
        <v>715</v>
      </c>
      <c r="D870" s="0">
        <f dt2D="0" dtr="0">HYPERLINK("https://www.icra.in/Rating/RatingDetails?CompanyId=0&amp;CompanyName=Indiana Hospital and Heart Institute Limited", "Rationale")</f>
        <v/>
      </c>
    </row>
    <row r="871">
      <c r="A871" s="0" t="s">
        <v>2198</v>
      </c>
      <c r="B871" s="0" t="s">
        <v>2199</v>
      </c>
      <c r="C871" s="0" t="s">
        <v>773</v>
      </c>
      <c r="D871" s="0">
        <f dt2D="0" dtr="0">HYPERLINK("https://www.icra.in/Rating/RatingDetails?CompanyId=0&amp;CompanyName=Indo Dutch Carpet Mfg. Pvt. Ltd.", "Rationale")</f>
        <v/>
      </c>
    </row>
    <row r="872">
      <c r="A872" s="0" t="s">
        <v>2200</v>
      </c>
      <c r="B872" s="0" t="s">
        <v>2201</v>
      </c>
      <c r="C872" s="0" t="s">
        <v>106</v>
      </c>
      <c r="D872" s="0">
        <f dt2D="0" dtr="0">HYPERLINK("https://www.icra.in/Rating/RatingDetails?CompanyId=0&amp;CompanyName=Indo German Carbons Limited", "Rationale")</f>
        <v/>
      </c>
    </row>
    <row r="873">
      <c r="A873" s="0" t="s">
        <v>2202</v>
      </c>
      <c r="B873" s="0" t="s">
        <v>2203</v>
      </c>
      <c r="C873" s="0" t="s">
        <v>183</v>
      </c>
      <c r="D873" s="0">
        <f dt2D="0" dtr="0">HYPERLINK("https://www.icra.in/Rating/RatingDetails?CompanyId=0&amp;CompanyName=Indo Vacuum Technologies Private Limited", "Rationale")</f>
        <v/>
      </c>
    </row>
    <row r="874">
      <c r="A874" s="0" t="s">
        <v>2204</v>
      </c>
      <c r="B874" s="0" t="s">
        <v>2205</v>
      </c>
      <c r="C874" s="0" t="s">
        <v>1695</v>
      </c>
      <c r="D874" s="0">
        <f dt2D="0" dtr="0">HYPERLINK("https://www.icra.in/Rating/RatingDetails?CompanyId=0&amp;CompanyName=Indraprastha Automobiles Private Limited", "Rationale")</f>
        <v/>
      </c>
    </row>
    <row r="875">
      <c r="A875" s="0" t="s">
        <v>2206</v>
      </c>
      <c r="B875" s="0" t="s">
        <v>2207</v>
      </c>
      <c r="C875" s="0" t="s">
        <v>223</v>
      </c>
      <c r="D875" s="0">
        <f dt2D="0" dtr="0">HYPERLINK("https://www.icra.in/Rating/RatingDetails?CompanyId=0&amp;CompanyName=Indure Private Limited", "Rationale")</f>
        <v/>
      </c>
    </row>
    <row r="876">
      <c r="A876" s="0" t="s">
        <v>2208</v>
      </c>
      <c r="B876" s="0" t="s">
        <v>2209</v>
      </c>
      <c r="C876" s="0" t="s">
        <v>2210</v>
      </c>
      <c r="D876" s="0">
        <f dt2D="0" dtr="0">HYPERLINK("https://www.icra.in/Rating/RatingDetails?CompanyId=0&amp;CompanyName=Indus Integrated Information Management Limited", "Rationale")</f>
        <v/>
      </c>
    </row>
    <row r="877">
      <c r="A877" s="0" t="s">
        <v>2211</v>
      </c>
      <c r="B877" s="0" t="s">
        <v>2212</v>
      </c>
      <c r="C877" s="0" t="s">
        <v>1116</v>
      </c>
      <c r="D877" s="0">
        <f dt2D="0" dtr="0">HYPERLINK("https://www.icra.in/Rating/RatingDetails?CompanyId=0&amp;CompanyName=Indus Mega Food Park Pvt. Ltd.", "Rationale")</f>
        <v/>
      </c>
    </row>
    <row r="878">
      <c r="A878" s="0" t="s">
        <v>2213</v>
      </c>
      <c r="B878" s="0" t="s">
        <v>2214</v>
      </c>
      <c r="C878" s="0" t="s">
        <v>2215</v>
      </c>
      <c r="D878" s="0">
        <f dt2D="0" dtr="0">HYPERLINK("https://www.icra.in/Rating/RatingDetails?CompanyId=0&amp;CompanyName=Industrial Forging Industries Private Limited", "Rationale")</f>
        <v/>
      </c>
    </row>
    <row r="879">
      <c r="A879" s="0" t="s">
        <v>2216</v>
      </c>
      <c r="B879" s="0" t="s">
        <v>2217</v>
      </c>
      <c r="C879" s="0" t="s">
        <v>2218</v>
      </c>
      <c r="D879" s="0">
        <f dt2D="0" dtr="0">HYPERLINK("https://www.icra.in/Rating/RatingDetails?CompanyId=0&amp;CompanyName=Industrial Manufacturers", "Rationale")</f>
        <v/>
      </c>
    </row>
    <row r="880">
      <c r="A880" s="0" t="s">
        <v>2219</v>
      </c>
      <c r="B880" s="0" t="s">
        <v>2220</v>
      </c>
      <c r="C880" s="0" t="s">
        <v>1497</v>
      </c>
      <c r="D880" s="0">
        <f dt2D="0" dtr="0">HYPERLINK("https://www.icra.in/Rating/RatingDetails?CompanyId=0&amp;CompanyName=Infant's Travels Private Limited", "Rationale")</f>
        <v/>
      </c>
    </row>
    <row r="881">
      <c r="A881" s="0" t="s">
        <v>2221</v>
      </c>
      <c r="B881" s="0" t="s">
        <v>2222</v>
      </c>
      <c r="C881" s="0" t="s">
        <v>2223</v>
      </c>
      <c r="D881" s="0">
        <f dt2D="0" dtr="0">HYPERLINK("https://www.icra.in/Rating/RatingDetails?CompanyId=0&amp;CompanyName=Infotel Business Solutions Limited", "Rationale")</f>
        <v/>
      </c>
    </row>
    <row r="882">
      <c r="A882" s="0" t="s">
        <v>2224</v>
      </c>
      <c r="B882" s="0" t="s">
        <v>2225</v>
      </c>
      <c r="C882" s="0" t="s">
        <v>1572</v>
      </c>
      <c r="D882" s="0">
        <f dt2D="0" dtr="0">HYPERLINK("https://www.icra.in/Rating/RatingDetails?CompanyId=0&amp;CompanyName=Infrastructure Leasing &amp; Financial Services Ltd", "Rationale")</f>
        <v/>
      </c>
    </row>
    <row r="883">
      <c r="A883" s="0" t="s">
        <v>2226</v>
      </c>
      <c r="B883" s="0" t="s">
        <v>2227</v>
      </c>
      <c r="C883" s="0" t="s">
        <v>773</v>
      </c>
      <c r="D883" s="0">
        <f dt2D="0" dtr="0">HYPERLINK("https://www.icra.in/Rating/RatingDetails?CompanyId=0&amp;CompanyName=Instyle Exports Private Limited", "Rationale")</f>
        <v/>
      </c>
    </row>
    <row r="884">
      <c r="A884" s="0" t="s">
        <v>2228</v>
      </c>
      <c r="B884" s="0" t="s">
        <v>2229</v>
      </c>
      <c r="C884" s="0" t="s">
        <v>2230</v>
      </c>
      <c r="D884" s="0">
        <f dt2D="0" dtr="0">HYPERLINK("https://www.icra.in/Rating/RatingDetails?CompanyId=0&amp;CompanyName=International Fresh Farm Products India Limited", "Rationale")</f>
        <v/>
      </c>
    </row>
    <row r="885">
      <c r="A885" s="0" t="s">
        <v>2231</v>
      </c>
      <c r="B885" s="0" t="s">
        <v>2232</v>
      </c>
      <c r="C885" s="0" t="s">
        <v>27</v>
      </c>
      <c r="D885" s="0">
        <f dt2D="0" dtr="0">HYPERLINK("https://www.icra.in/Rating/RatingDetails?CompanyId=0&amp;CompanyName=Ireo Hospitality Company Private Limited", "Rationale")</f>
        <v/>
      </c>
    </row>
    <row r="886">
      <c r="A886" s="0" t="s">
        <v>2233</v>
      </c>
      <c r="B886" s="0" t="s">
        <v>2234</v>
      </c>
      <c r="C886" s="0" t="s">
        <v>165</v>
      </c>
      <c r="D886" s="0">
        <f dt2D="0" dtr="0">HYPERLINK("https://www.icra.in/Rating/RatingDetails?CompanyId=0&amp;CompanyName=IREO Private Limited", "Rationale")</f>
        <v/>
      </c>
    </row>
    <row r="887">
      <c r="A887" s="0" t="s">
        <v>2235</v>
      </c>
      <c r="B887" s="0" t="s">
        <v>2236</v>
      </c>
      <c r="C887" s="0" t="s">
        <v>223</v>
      </c>
      <c r="D887" s="0">
        <f dt2D="0" dtr="0">HYPERLINK("https://www.icra.in/Rating/RatingDetails?CompanyId=0&amp;CompanyName=Ire-Tex Premier India Pvt Ltd", "Rationale")</f>
        <v/>
      </c>
    </row>
    <row r="888">
      <c r="A888" s="0" t="s">
        <v>2237</v>
      </c>
      <c r="B888" s="0" t="s">
        <v>2238</v>
      </c>
      <c r="C888" s="0" t="s">
        <v>242</v>
      </c>
      <c r="D888" s="0">
        <f dt2D="0" dtr="0">HYPERLINK("https://www.icra.in/Rating/RatingDetails?CompanyId=0&amp;CompanyName=Iris Computers Limited", "Rationale")</f>
        <v/>
      </c>
    </row>
    <row r="889">
      <c r="A889" s="0" t="s">
        <v>2239</v>
      </c>
      <c r="B889" s="0" t="s">
        <v>2240</v>
      </c>
      <c r="C889" s="0" t="s">
        <v>2241</v>
      </c>
      <c r="D889" s="0">
        <f dt2D="0" dtr="0">HYPERLINK("https://www.icra.in/Rating/RatingDetails?CompanyId=0&amp;CompanyName=Iron Triangle Limited", "Rationale")</f>
        <v/>
      </c>
    </row>
    <row r="890">
      <c r="A890" s="0" t="s">
        <v>2242</v>
      </c>
      <c r="B890" s="0" t="s">
        <v>2243</v>
      </c>
      <c r="C890" s="0" t="s">
        <v>106</v>
      </c>
      <c r="D890" s="0">
        <f dt2D="0" dtr="0">HYPERLINK("https://www.icra.in/Rating/RatingDetails?CompanyId=0&amp;CompanyName=Ishaan Metals Private Limited", "Rationale")</f>
        <v/>
      </c>
    </row>
    <row r="891">
      <c r="A891" s="0" t="s">
        <v>2244</v>
      </c>
      <c r="B891" s="0" t="s">
        <v>2245</v>
      </c>
      <c r="C891" s="0" t="s">
        <v>1914</v>
      </c>
      <c r="D891" s="0">
        <f dt2D="0" dtr="0">HYPERLINK("https://www.icra.in/Rating/RatingDetails?CompanyId=0&amp;CompanyName=Ishwar Cables Private Limited", "Rationale")</f>
        <v/>
      </c>
    </row>
    <row r="892">
      <c r="A892" s="0" t="s">
        <v>2246</v>
      </c>
      <c r="B892" s="0" t="s">
        <v>2247</v>
      </c>
      <c r="C892" s="0" t="s">
        <v>1914</v>
      </c>
      <c r="D892" s="0">
        <f dt2D="0" dtr="0">HYPERLINK("https://www.icra.in/Rating/RatingDetails?CompanyId=0&amp;CompanyName=Ishwar Metal Industries", "Rationale")</f>
        <v/>
      </c>
    </row>
    <row r="893">
      <c r="A893" s="0" t="s">
        <v>2248</v>
      </c>
      <c r="B893" s="0" t="s">
        <v>2249</v>
      </c>
      <c r="C893" s="0" t="s">
        <v>1742</v>
      </c>
      <c r="D893" s="0">
        <f dt2D="0" dtr="0">HYPERLINK("https://www.icra.in/Rating/RatingDetails?CompanyId=0&amp;CompanyName=Ishwar Oil Mill", "Rationale")</f>
        <v/>
      </c>
    </row>
    <row r="894">
      <c r="A894" s="0" t="s">
        <v>2250</v>
      </c>
      <c r="B894" s="0" t="s">
        <v>2251</v>
      </c>
      <c r="C894" s="0" t="s">
        <v>2252</v>
      </c>
      <c r="D894" s="0">
        <f dt2D="0" dtr="0">HYPERLINK("https://www.icra.in/Rating/RatingDetails?CompanyId=0&amp;CompanyName=Itamax Ceramic Pvt. Ltd.", "Rationale")</f>
        <v/>
      </c>
    </row>
    <row r="895">
      <c r="A895" s="0" t="s">
        <v>2253</v>
      </c>
      <c r="B895" s="0" t="s">
        <v>2254</v>
      </c>
      <c r="C895" s="0" t="s">
        <v>2255</v>
      </c>
      <c r="D895" s="0">
        <f dt2D="0" dtr="0">HYPERLINK("https://www.icra.in/Rating/RatingDetails?CompanyId=0&amp;CompanyName=Ivax Paper Chemicals Private Limited (Formerly known as Ivax Paper Chemicals Limited)", "Rationale")</f>
        <v/>
      </c>
    </row>
    <row r="896">
      <c r="A896" s="0" t="s">
        <v>2256</v>
      </c>
      <c r="B896" s="0" t="s">
        <v>2257</v>
      </c>
      <c r="C896" s="0" t="s">
        <v>2258</v>
      </c>
      <c r="D896" s="0">
        <f dt2D="0" dtr="0">HYPERLINK("https://www.icra.in/Rating/RatingDetails?CompanyId=0&amp;CompanyName=IVRCL Chandrapur Tollways Limited", "Rationale")</f>
        <v/>
      </c>
    </row>
    <row r="897">
      <c r="A897" s="0" t="s">
        <v>2259</v>
      </c>
      <c r="B897" s="0" t="s">
        <v>2260</v>
      </c>
      <c r="C897" s="0" t="s">
        <v>1062</v>
      </c>
      <c r="D897" s="0">
        <f dt2D="0" dtr="0">HYPERLINK("https://www.icra.in/Rating/RatingDetails?CompanyId=0&amp;CompanyName=J C Construction Private Limited", "Rationale")</f>
        <v/>
      </c>
    </row>
    <row r="898">
      <c r="A898" s="0" t="s">
        <v>2261</v>
      </c>
      <c r="B898" s="0" t="s">
        <v>2262</v>
      </c>
      <c r="C898" s="0" t="s">
        <v>2263</v>
      </c>
      <c r="D898" s="0">
        <f dt2D="0" dtr="0">HYPERLINK("https://www.icra.in/Rating/RatingDetails?CompanyId=0&amp;CompanyName=J M Constructions Company", "Rationale")</f>
        <v/>
      </c>
    </row>
    <row r="899">
      <c r="A899" s="0" t="s">
        <v>2264</v>
      </c>
      <c r="B899" s="0" t="s">
        <v>2265</v>
      </c>
      <c r="C899" s="0" t="s">
        <v>2266</v>
      </c>
      <c r="D899" s="0">
        <f dt2D="0" dtr="0">HYPERLINK("https://www.icra.in/Rating/RatingDetails?CompanyId=0&amp;CompanyName=J Pan Tubular Components Private Limited", "Rationale")</f>
        <v/>
      </c>
    </row>
    <row r="900">
      <c r="A900" s="0" t="s">
        <v>2267</v>
      </c>
      <c r="B900" s="0" t="s">
        <v>2268</v>
      </c>
      <c r="C900" s="0" t="s">
        <v>338</v>
      </c>
      <c r="D900" s="0">
        <f dt2D="0" dtr="0">HYPERLINK("https://www.icra.in/Rating/RatingDetails?CompanyId=0&amp;CompanyName=J. P. Flour Mills Pvt Ltd", "Rationale")</f>
        <v/>
      </c>
    </row>
    <row r="901">
      <c r="A901" s="0" t="s">
        <v>2269</v>
      </c>
      <c r="B901" s="0" t="s">
        <v>2270</v>
      </c>
      <c r="C901" s="0" t="s">
        <v>2271</v>
      </c>
      <c r="D901" s="0">
        <f dt2D="0" dtr="0">HYPERLINK("https://www.icra.in/Rating/RatingDetails?CompanyId=0&amp;CompanyName=J.D.Jadia Infrastructures Pvt.Ltd.", "Rationale")</f>
        <v/>
      </c>
    </row>
    <row r="902">
      <c r="A902" s="0" t="s">
        <v>2272</v>
      </c>
      <c r="B902" s="0" t="s">
        <v>2273</v>
      </c>
      <c r="C902" s="0" t="s">
        <v>71</v>
      </c>
      <c r="D902" s="0">
        <f dt2D="0" dtr="0">HYPERLINK("https://www.icra.in/Rating/RatingDetails?CompanyId=0&amp;CompanyName=J.I. Enterprises", "Rationale")</f>
        <v/>
      </c>
    </row>
    <row r="903">
      <c r="A903" s="0" t="s">
        <v>2274</v>
      </c>
      <c r="B903" s="0" t="s">
        <v>2275</v>
      </c>
      <c r="C903" s="0" t="s">
        <v>71</v>
      </c>
      <c r="D903" s="0">
        <f dt2D="0" dtr="0">HYPERLINK("https://www.icra.in/Rating/RatingDetails?CompanyId=0&amp;CompanyName=J.K Transformers", "Rationale")</f>
        <v/>
      </c>
    </row>
    <row r="904">
      <c r="A904" s="0" t="s">
        <v>2276</v>
      </c>
      <c r="B904" s="0" t="s">
        <v>2277</v>
      </c>
      <c r="C904" s="0" t="s">
        <v>50</v>
      </c>
      <c r="D904" s="0">
        <f dt2D="0" dtr="0">HYPERLINK("https://www.icra.in/Rating/RatingDetails?CompanyId=0&amp;CompanyName=J.R.Foods Limited", "Rationale")</f>
        <v/>
      </c>
    </row>
    <row r="905">
      <c r="A905" s="0" t="s">
        <v>2278</v>
      </c>
      <c r="B905" s="0" t="s">
        <v>2279</v>
      </c>
      <c r="C905" s="0" t="s">
        <v>2280</v>
      </c>
      <c r="D905" s="0">
        <f dt2D="0" dtr="0">HYPERLINK("https://www.icra.in/Rating/RatingDetails?CompanyId=0&amp;CompanyName=J.Y. International", "Rationale")</f>
        <v/>
      </c>
    </row>
    <row r="906">
      <c r="A906" s="0" t="s">
        <v>2281</v>
      </c>
      <c r="B906" s="0" t="s">
        <v>2282</v>
      </c>
      <c r="C906" s="0" t="s">
        <v>2283</v>
      </c>
      <c r="D906" s="0">
        <f dt2D="0" dtr="0">HYPERLINK("https://www.icra.in/Rating/RatingDetails?CompanyId=0&amp;CompanyName=Jabalpur Entertainment Complexes Private Limited", "Rationale")</f>
        <v/>
      </c>
    </row>
    <row r="907">
      <c r="A907" s="0" t="s">
        <v>2284</v>
      </c>
      <c r="B907" s="0" t="s">
        <v>2285</v>
      </c>
      <c r="C907" s="0" t="s">
        <v>1917</v>
      </c>
      <c r="D907" s="0">
        <f dt2D="0" dtr="0">HYPERLINK("https://www.icra.in/Rating/RatingDetails?CompanyId=0&amp;CompanyName=Jadli Foods (India) Pvt. Ltd.", "Rationale")</f>
        <v/>
      </c>
    </row>
    <row r="908">
      <c r="A908" s="0" t="s">
        <v>2286</v>
      </c>
      <c r="B908" s="0" t="s">
        <v>2287</v>
      </c>
      <c r="C908" s="0" t="s">
        <v>1832</v>
      </c>
      <c r="D908" s="0">
        <f dt2D="0" dtr="0">HYPERLINK("https://www.icra.in/Rating/RatingDetails?CompanyId=0&amp;CompanyName=Jagdamba Oil &amp; General Mills", "Rationale")</f>
        <v/>
      </c>
    </row>
    <row r="909">
      <c r="A909" s="0" t="s">
        <v>2288</v>
      </c>
      <c r="B909" s="0" t="s">
        <v>2289</v>
      </c>
      <c r="C909" s="0" t="s">
        <v>514</v>
      </c>
      <c r="D909" s="0">
        <f dt2D="0" dtr="0">HYPERLINK("https://www.icra.in/Rating/RatingDetails?CompanyId=0&amp;CompanyName=Jagdambay Cotspin Limited", "Rationale")</f>
        <v/>
      </c>
    </row>
    <row r="910">
      <c r="A910" s="0" t="s">
        <v>2290</v>
      </c>
      <c r="B910" s="0" t="s">
        <v>2291</v>
      </c>
      <c r="C910" s="0" t="s">
        <v>2292</v>
      </c>
      <c r="D910" s="0">
        <f dt2D="0" dtr="0">HYPERLINK("https://www.icra.in/Rating/RatingDetails?CompanyId=0&amp;CompanyName=Jagrut Motors Private Limited", "Rationale")</f>
        <v/>
      </c>
    </row>
    <row r="911">
      <c r="A911" s="0" t="s">
        <v>2293</v>
      </c>
      <c r="B911" s="0" t="s">
        <v>2294</v>
      </c>
      <c r="C911" s="0" t="s">
        <v>1222</v>
      </c>
      <c r="D911" s="0">
        <f dt2D="0" dtr="0">HYPERLINK("https://www.icra.in/Rating/RatingDetails?CompanyId=0&amp;CompanyName=Jagtial Municipality", "Rationale")</f>
        <v/>
      </c>
    </row>
    <row r="912">
      <c r="A912" s="0" t="s">
        <v>2295</v>
      </c>
      <c r="B912" s="0" t="s">
        <v>2296</v>
      </c>
      <c r="C912" s="0" t="s">
        <v>18</v>
      </c>
      <c r="D912" s="0">
        <f dt2D="0" dtr="0">HYPERLINK("https://www.icra.in/Rating/RatingDetails?CompanyId=0&amp;CompanyName=Jai Bhole Steel Tubes Private Limited", "Rationale")</f>
        <v/>
      </c>
    </row>
    <row r="913">
      <c r="A913" s="0" t="s">
        <v>2297</v>
      </c>
      <c r="B913" s="0" t="s">
        <v>2298</v>
      </c>
      <c r="C913" s="0" t="s">
        <v>1228</v>
      </c>
      <c r="D913" s="0">
        <f dt2D="0" dtr="0">HYPERLINK("https://www.icra.in/Rating/RatingDetails?CompanyId=0&amp;CompanyName=Jai Durga Oil Extraction Private Limited", "Rationale")</f>
        <v/>
      </c>
    </row>
    <row r="914">
      <c r="A914" s="0" t="s">
        <v>2299</v>
      </c>
      <c r="B914" s="0" t="s">
        <v>2300</v>
      </c>
      <c r="C914" s="0" t="s">
        <v>92</v>
      </c>
      <c r="D914" s="0">
        <f dt2D="0" dtr="0">HYPERLINK("https://www.icra.in/Rating/RatingDetails?CompanyId=0&amp;CompanyName=Jai Laxmi Cement Co. (P) Limited", "Rationale")</f>
        <v/>
      </c>
    </row>
    <row r="915">
      <c r="A915" s="0" t="s">
        <v>2301</v>
      </c>
      <c r="B915" s="0" t="s">
        <v>2302</v>
      </c>
      <c r="C915" s="0" t="s">
        <v>544</v>
      </c>
      <c r="D915" s="0">
        <f dt2D="0" dtr="0">HYPERLINK("https://www.icra.in/Rating/RatingDetails?CompanyId=0&amp;CompanyName=Jai Maa Savitri Educational Society", "Rationale")</f>
        <v/>
      </c>
    </row>
    <row r="916">
      <c r="A916" s="0" t="s">
        <v>2303</v>
      </c>
      <c r="B916" s="0" t="s">
        <v>2304</v>
      </c>
      <c r="C916" s="0" t="s">
        <v>165</v>
      </c>
      <c r="D916" s="0">
        <f dt2D="0" dtr="0">HYPERLINK("https://www.icra.in/Rating/RatingDetails?CompanyId=0&amp;CompanyName=Jai Maakali Fish Farms Private Limited", "Rationale")</f>
        <v/>
      </c>
    </row>
    <row r="917">
      <c r="A917" s="0" t="s">
        <v>2305</v>
      </c>
      <c r="B917" s="0" t="s">
        <v>2306</v>
      </c>
      <c r="C917" s="0" t="s">
        <v>2307</v>
      </c>
      <c r="D917" s="0">
        <f dt2D="0" dtr="0">HYPERLINK("https://www.icra.in/Rating/RatingDetails?CompanyId=0&amp;CompanyName=Jai Maharashtra Nagar Development Private Limited", "Rationale")</f>
        <v/>
      </c>
    </row>
    <row r="918">
      <c r="A918" s="0" t="s">
        <v>2308</v>
      </c>
      <c r="B918" s="0" t="s">
        <v>2309</v>
      </c>
      <c r="C918" s="0" t="s">
        <v>71</v>
      </c>
      <c r="D918" s="0">
        <f dt2D="0" dtr="0">HYPERLINK("https://www.icra.in/Rating/RatingDetails?CompanyId=0&amp;CompanyName=Jaigo Agro Industries", "Rationale")</f>
        <v/>
      </c>
    </row>
    <row r="919">
      <c r="A919" s="0" t="s">
        <v>2310</v>
      </c>
      <c r="B919" s="0" t="s">
        <v>2311</v>
      </c>
      <c r="C919" s="0" t="s">
        <v>223</v>
      </c>
      <c r="D919" s="0">
        <f dt2D="0" dtr="0">HYPERLINK("https://www.icra.in/Rating/RatingDetails?CompanyId=0&amp;CompanyName=Jain Agencies", "Rationale")</f>
        <v/>
      </c>
    </row>
    <row r="920">
      <c r="A920" s="0" t="s">
        <v>2312</v>
      </c>
      <c r="B920" s="0" t="s">
        <v>2313</v>
      </c>
      <c r="C920" s="0" t="s">
        <v>477</v>
      </c>
      <c r="D920" s="0">
        <f dt2D="0" dtr="0">HYPERLINK("https://www.icra.in/Rating/RatingDetails?CompanyId=0&amp;CompanyName=Jain Farm Fresh Foods Limited", "Rationale")</f>
        <v/>
      </c>
    </row>
    <row r="921">
      <c r="A921" s="0" t="s">
        <v>2314</v>
      </c>
      <c r="B921" s="0" t="s">
        <v>2315</v>
      </c>
      <c r="C921" s="0" t="s">
        <v>71</v>
      </c>
      <c r="D921" s="0">
        <f dt2D="0" dtr="0">HYPERLINK("https://www.icra.in/Rating/RatingDetails?CompanyId=0&amp;CompanyName=Jain Vinimay Private Limited", "Rationale")</f>
        <v/>
      </c>
    </row>
    <row r="922">
      <c r="A922" s="0" t="s">
        <v>2316</v>
      </c>
      <c r="B922" s="0" t="s">
        <v>2317</v>
      </c>
      <c r="C922" s="0" t="s">
        <v>583</v>
      </c>
      <c r="D922" s="0">
        <f dt2D="0" dtr="0">HYPERLINK("https://www.icra.in/Rating/RatingDetails?CompanyId=0&amp;CompanyName=Jainalco Industries Private Limited", "Rationale")</f>
        <v/>
      </c>
    </row>
    <row r="923">
      <c r="A923" s="0" t="s">
        <v>2318</v>
      </c>
      <c r="B923" s="0" t="s">
        <v>2319</v>
      </c>
      <c r="C923" s="0" t="s">
        <v>1575</v>
      </c>
      <c r="D923" s="0">
        <f dt2D="0" dtr="0">HYPERLINK("https://www.icra.in/Rating/RatingDetails?CompanyId=0&amp;CompanyName=Jainam Coatex LLP", "Rationale")</f>
        <v/>
      </c>
    </row>
    <row r="924">
      <c r="A924" s="0" t="s">
        <v>2320</v>
      </c>
      <c r="B924" s="0" t="s">
        <v>2321</v>
      </c>
      <c r="C924" s="0" t="s">
        <v>2322</v>
      </c>
      <c r="D924" s="0">
        <f dt2D="0" dtr="0">HYPERLINK("https://www.icra.in/Rating/RatingDetails?CompanyId=0&amp;CompanyName=Jaipur Integrated Texcraft Park Private Limited", "Rationale")</f>
        <v/>
      </c>
    </row>
    <row r="925">
      <c r="A925" s="0" t="s">
        <v>2323</v>
      </c>
      <c r="B925" s="0" t="s">
        <v>2324</v>
      </c>
      <c r="C925" s="0" t="s">
        <v>81</v>
      </c>
      <c r="D925" s="0">
        <f dt2D="0" dtr="0">HYPERLINK("https://www.icra.in/Rating/RatingDetails?CompanyId=0&amp;CompanyName=Jaipur Rugs Company Private Limited", "Rationale")</f>
        <v/>
      </c>
    </row>
    <row r="926">
      <c r="A926" s="0" t="s">
        <v>2325</v>
      </c>
      <c r="B926" s="0" t="s">
        <v>2326</v>
      </c>
      <c r="C926" s="0" t="s">
        <v>2327</v>
      </c>
      <c r="D926" s="0">
        <f dt2D="0" dtr="0">HYPERLINK("https://www.icra.in/Rating/RatingDetails?CompanyId=0&amp;CompanyName=Jais Jewellery Private Limited", "Rationale")</f>
        <v/>
      </c>
    </row>
    <row r="927">
      <c r="A927" s="0" t="s">
        <v>2328</v>
      </c>
      <c r="B927" s="0" t="s">
        <v>2329</v>
      </c>
      <c r="C927" s="0" t="s">
        <v>634</v>
      </c>
      <c r="D927" s="0">
        <f dt2D="0" dtr="0">HYPERLINK("https://www.icra.in/Rating/RatingDetails?CompanyId=0&amp;CompanyName=Jajodia Exports Pvt Ltd", "Rationale")</f>
        <v/>
      </c>
    </row>
    <row r="928">
      <c r="A928" s="0" t="s">
        <v>2330</v>
      </c>
      <c r="B928" s="0" t="s">
        <v>2331</v>
      </c>
      <c r="C928" s="0" t="s">
        <v>71</v>
      </c>
      <c r="D928" s="0">
        <f dt2D="0" dtr="0">HYPERLINK("https://www.icra.in/Rating/RatingDetails?CompanyId=0&amp;CompanyName=JAK Associates", "Rationale")</f>
        <v/>
      </c>
    </row>
    <row r="929">
      <c r="A929" s="0" t="s">
        <v>2332</v>
      </c>
      <c r="B929" s="0" t="s">
        <v>2333</v>
      </c>
      <c r="C929" s="0" t="s">
        <v>71</v>
      </c>
      <c r="D929" s="0">
        <f dt2D="0" dtr="0">HYPERLINK("https://www.icra.in/Rating/RatingDetails?CompanyId=0&amp;CompanyName=Jalan Synthetics", "Rationale")</f>
        <v/>
      </c>
    </row>
    <row r="930">
      <c r="A930" s="0" t="s">
        <v>2334</v>
      </c>
      <c r="B930" s="0" t="s">
        <v>2335</v>
      </c>
      <c r="C930" s="0" t="s">
        <v>2336</v>
      </c>
      <c r="D930" s="0">
        <f dt2D="0" dtr="0">HYPERLINK("https://www.icra.in/Rating/RatingDetails?CompanyId=0&amp;CompanyName=Jalaram Cotton Ginning and Pressing Factory", "Rationale")</f>
        <v/>
      </c>
    </row>
    <row r="931">
      <c r="A931" s="0" t="s">
        <v>2337</v>
      </c>
      <c r="B931" s="0" t="s">
        <v>2338</v>
      </c>
      <c r="C931" s="0" t="s">
        <v>278</v>
      </c>
      <c r="D931" s="0">
        <f dt2D="0" dtr="0">HYPERLINK("https://www.icra.in/Rating/RatingDetails?CompanyId=0&amp;CompanyName=Jampana Construction Pvt Ltd", "Rationale")</f>
        <v/>
      </c>
    </row>
    <row r="932">
      <c r="A932" s="0" t="s">
        <v>2339</v>
      </c>
      <c r="B932" s="0" t="s">
        <v>2340</v>
      </c>
      <c r="C932" s="0" t="s">
        <v>281</v>
      </c>
      <c r="D932" s="0">
        <f dt2D="0" dtr="0">HYPERLINK("https://www.icra.in/Rating/RatingDetails?CompanyId=0&amp;CompanyName=Jampana Padmavathi", "Rationale")</f>
        <v/>
      </c>
    </row>
    <row r="933">
      <c r="A933" s="0" t="s">
        <v>2341</v>
      </c>
      <c r="B933" s="0" t="s">
        <v>2342</v>
      </c>
      <c r="C933" s="0" t="s">
        <v>2343</v>
      </c>
      <c r="D933" s="0">
        <f dt2D="0" dtr="0">HYPERLINK("https://www.icra.in/Rating/RatingDetails?CompanyId=0&amp;CompanyName=Janta Rice Mills", "Rationale")</f>
        <v/>
      </c>
    </row>
    <row r="934">
      <c r="A934" s="0" t="s">
        <v>2344</v>
      </c>
      <c r="B934" s="0" t="s">
        <v>2345</v>
      </c>
      <c r="C934" s="0" t="s">
        <v>2346</v>
      </c>
      <c r="D934" s="0">
        <f dt2D="0" dtr="0">HYPERLINK("https://www.icra.in/Rating/RatingDetails?CompanyId=0&amp;CompanyName=Jasmine Industrial Corporation", "Rationale")</f>
        <v/>
      </c>
    </row>
    <row r="935">
      <c r="A935" s="0" t="s">
        <v>2347</v>
      </c>
      <c r="B935" s="0" t="s">
        <v>2348</v>
      </c>
      <c r="C935" s="0" t="s">
        <v>165</v>
      </c>
      <c r="D935" s="0">
        <f dt2D="0" dtr="0">HYPERLINK("https://www.icra.in/Rating/RatingDetails?CompanyId=0&amp;CompanyName=Jassmine Enterprises", "Rationale")</f>
        <v/>
      </c>
    </row>
    <row r="936">
      <c r="A936" s="0" t="s">
        <v>2349</v>
      </c>
      <c r="B936" s="0" t="s">
        <v>2350</v>
      </c>
      <c r="C936" s="0" t="s">
        <v>92</v>
      </c>
      <c r="D936" s="0">
        <f dt2D="0" dtr="0">HYPERLINK("https://www.icra.in/Rating/RatingDetails?CompanyId=0&amp;CompanyName=Javin Construction Private Limited", "Rationale")</f>
        <v/>
      </c>
    </row>
    <row r="937">
      <c r="A937" s="0" t="s">
        <v>2351</v>
      </c>
      <c r="B937" s="0" t="s">
        <v>2352</v>
      </c>
      <c r="C937" s="0" t="s">
        <v>1222</v>
      </c>
      <c r="D937" s="0">
        <f dt2D="0" dtr="0">HYPERLINK("https://www.icra.in/Rating/RatingDetails?CompanyId=0&amp;CompanyName=Jawaharnagar Municipal Corporation", "Rationale")</f>
        <v/>
      </c>
    </row>
    <row r="938">
      <c r="A938" s="0" t="s">
        <v>2353</v>
      </c>
      <c r="B938" s="0" t="s">
        <v>2354</v>
      </c>
      <c r="C938" s="0" t="s">
        <v>773</v>
      </c>
      <c r="D938" s="0">
        <f dt2D="0" dtr="0">HYPERLINK("https://www.icra.in/Rating/RatingDetails?CompanyId=0&amp;CompanyName=Jay Bharat Food Process Private Limited", "Rationale")</f>
        <v/>
      </c>
    </row>
    <row r="939">
      <c r="A939" s="0" t="s">
        <v>2355</v>
      </c>
      <c r="B939" s="0" t="s">
        <v>2356</v>
      </c>
      <c r="C939" s="0" t="s">
        <v>773</v>
      </c>
      <c r="D939" s="0">
        <f dt2D="0" dtr="0">HYPERLINK("https://www.icra.in/Rating/RatingDetails?CompanyId=0&amp;CompanyName=Jay Bharat Spices Private Limited", "Rationale")</f>
        <v/>
      </c>
    </row>
    <row r="940">
      <c r="A940" s="0" t="s">
        <v>2357</v>
      </c>
      <c r="B940" s="0" t="s">
        <v>2358</v>
      </c>
      <c r="C940" s="0" t="s">
        <v>2359</v>
      </c>
      <c r="D940" s="0">
        <f dt2D="0" dtr="0">HYPERLINK("https://www.icra.in/Rating/RatingDetails?CompanyId=0&amp;CompanyName=Jay Enterprise", "Rationale")</f>
        <v/>
      </c>
    </row>
    <row r="941">
      <c r="A941" s="0" t="s">
        <v>2360</v>
      </c>
      <c r="B941" s="0" t="s">
        <v>2361</v>
      </c>
      <c r="C941" s="0" t="s">
        <v>103</v>
      </c>
      <c r="D941" s="0">
        <f dt2D="0" dtr="0">HYPERLINK("https://www.icra.in/Rating/RatingDetails?CompanyId=0&amp;CompanyName=Jay Formulations Limited", "Rationale")</f>
        <v/>
      </c>
    </row>
    <row r="942">
      <c r="A942" s="0" t="s">
        <v>2362</v>
      </c>
      <c r="B942" s="0" t="s">
        <v>2363</v>
      </c>
      <c r="C942" s="0" t="s">
        <v>71</v>
      </c>
      <c r="D942" s="0">
        <f dt2D="0" dtr="0">HYPERLINK("https://www.icra.in/Rating/RatingDetails?CompanyId=0&amp;CompanyName=Jay Metal", "Rationale")</f>
        <v/>
      </c>
    </row>
    <row r="943">
      <c r="A943" s="0" t="s">
        <v>2364</v>
      </c>
      <c r="B943" s="0" t="s">
        <v>2365</v>
      </c>
      <c r="C943" s="0" t="s">
        <v>71</v>
      </c>
      <c r="D943" s="0">
        <f dt2D="0" dtr="0">HYPERLINK("https://www.icra.in/Rating/RatingDetails?CompanyId=0&amp;CompanyName=Jay Palghar Net Co.", "Rationale")</f>
        <v/>
      </c>
    </row>
    <row r="944">
      <c r="A944" s="0" t="s">
        <v>2366</v>
      </c>
      <c r="B944" s="0" t="s">
        <v>2367</v>
      </c>
      <c r="C944" s="0" t="s">
        <v>2359</v>
      </c>
      <c r="D944" s="0">
        <f dt2D="0" dtr="0">HYPERLINK("https://www.icra.in/Rating/RatingDetails?CompanyId=0&amp;CompanyName=Jay Parvati Cold Storage", "Rationale")</f>
        <v/>
      </c>
    </row>
    <row r="945">
      <c r="A945" s="0" t="s">
        <v>2368</v>
      </c>
      <c r="B945" s="0" t="s">
        <v>2369</v>
      </c>
      <c r="C945" s="0" t="s">
        <v>71</v>
      </c>
      <c r="D945" s="0">
        <f dt2D="0" dtr="0">HYPERLINK("https://www.icra.in/Rating/RatingDetails?CompanyId=0&amp;CompanyName=Jay Umiya Industries", "Rationale")</f>
        <v/>
      </c>
    </row>
    <row r="946">
      <c r="A946" s="0" t="s">
        <v>2370</v>
      </c>
      <c r="B946" s="0" t="s">
        <v>2371</v>
      </c>
      <c r="C946" s="0" t="s">
        <v>2372</v>
      </c>
      <c r="D946" s="0">
        <f dt2D="0" dtr="0">HYPERLINK("https://www.icra.in/Rating/RatingDetails?CompanyId=0&amp;CompanyName=Jaya Lathe Works", "Rationale")</f>
        <v/>
      </c>
    </row>
    <row r="947">
      <c r="A947" s="0" t="s">
        <v>2373</v>
      </c>
      <c r="B947" s="0" t="s">
        <v>2374</v>
      </c>
      <c r="C947" s="0" t="s">
        <v>2375</v>
      </c>
      <c r="D947" s="0">
        <f dt2D="0" dtr="0">HYPERLINK("https://www.icra.in/Rating/RatingDetails?CompanyId=0&amp;CompanyName=Jayalaxmi Enterprises", "Rationale")</f>
        <v/>
      </c>
    </row>
    <row r="948">
      <c r="A948" s="0" t="s">
        <v>2376</v>
      </c>
      <c r="B948" s="0" t="s">
        <v>2377</v>
      </c>
      <c r="C948" s="0" t="s">
        <v>1209</v>
      </c>
      <c r="D948" s="0">
        <f dt2D="0" dtr="0">HYPERLINK("https://www.icra.in/Rating/RatingDetails?CompanyId=0&amp;CompanyName=Jayant Printery Llp", "Rationale")</f>
        <v/>
      </c>
    </row>
    <row r="949">
      <c r="A949" s="0" t="s">
        <v>2378</v>
      </c>
      <c r="B949" s="0" t="s">
        <v>2379</v>
      </c>
      <c r="C949" s="0" t="s">
        <v>763</v>
      </c>
      <c r="D949" s="0">
        <f dt2D="0" dtr="0">HYPERLINK("https://www.icra.in/Rating/RatingDetails?CompanyId=0&amp;CompanyName=Jayaraj Fortune Packaging Private Limited", "Rationale")</f>
        <v/>
      </c>
    </row>
    <row r="950">
      <c r="A950" s="0" t="s">
        <v>2380</v>
      </c>
      <c r="B950" s="0" t="s">
        <v>2381</v>
      </c>
      <c r="C950" s="0" t="s">
        <v>71</v>
      </c>
      <c r="D950" s="0">
        <f dt2D="0" dtr="0">HYPERLINK("https://www.icra.in/Rating/RatingDetails?CompanyId=0&amp;CompanyName=Jayshree Builders", "Rationale")</f>
        <v/>
      </c>
    </row>
    <row r="951">
      <c r="A951" s="0" t="s">
        <v>2382</v>
      </c>
      <c r="B951" s="0" t="s">
        <v>2383</v>
      </c>
      <c r="C951" s="0" t="s">
        <v>2384</v>
      </c>
      <c r="D951" s="0">
        <f dt2D="0" dtr="0">HYPERLINK("https://www.icra.in/Rating/RatingDetails?CompanyId=0&amp;CompanyName=Jeevisha Foods Pvt. Ltd.", "Rationale")</f>
        <v/>
      </c>
    </row>
    <row r="952">
      <c r="A952" s="0" t="s">
        <v>2385</v>
      </c>
      <c r="B952" s="0" t="s">
        <v>2386</v>
      </c>
      <c r="C952" s="0" t="s">
        <v>2387</v>
      </c>
      <c r="D952" s="0">
        <f dt2D="0" dtr="0">HYPERLINK("https://www.icra.in/Rating/RatingDetails?CompanyId=0&amp;CompanyName=Jell Pharmaceuticals Private Limited", "Rationale")</f>
        <v/>
      </c>
    </row>
    <row r="953">
      <c r="A953" s="0" t="s">
        <v>2388</v>
      </c>
      <c r="B953" s="0" t="s">
        <v>2389</v>
      </c>
      <c r="C953" s="0" t="s">
        <v>2390</v>
      </c>
      <c r="D953" s="0">
        <f dt2D="0" dtr="0">HYPERLINK("https://www.icra.in/Rating/RatingDetails?CompanyId=0&amp;CompanyName=Jeppiaar Power Corporation Private Limited", "Rationale")</f>
        <v/>
      </c>
    </row>
    <row r="954">
      <c r="A954" s="0" t="s">
        <v>2391</v>
      </c>
      <c r="B954" s="0" t="s">
        <v>2392</v>
      </c>
      <c r="C954" s="0" t="s">
        <v>1350</v>
      </c>
      <c r="D954" s="0">
        <f dt2D="0" dtr="0">HYPERLINK("https://www.icra.in/Rating/RatingDetails?CompanyId=0&amp;CompanyName=Jet Airways (India) Limited", "Rationale")</f>
        <v/>
      </c>
    </row>
    <row r="955">
      <c r="A955" s="0" t="s">
        <v>2393</v>
      </c>
      <c r="B955" s="0" t="s">
        <v>2394</v>
      </c>
      <c r="C955" s="0" t="s">
        <v>2395</v>
      </c>
      <c r="D955" s="0">
        <f dt2D="0" dtr="0">HYPERLINK("https://www.icra.in/Rating/RatingDetails?CompanyId=0&amp;CompanyName=Jharkhand Infrastructure Implementation Company Limited", "Rationale")</f>
        <v/>
      </c>
    </row>
    <row r="956">
      <c r="A956" s="0" t="s">
        <v>2396</v>
      </c>
      <c r="B956" s="0" t="s">
        <v>2397</v>
      </c>
      <c r="C956" s="0" t="s">
        <v>1234</v>
      </c>
      <c r="D956" s="0">
        <f dt2D="0" dtr="0">HYPERLINK("https://www.icra.in/Rating/RatingDetails?CompanyId=0&amp;CompanyName=JHV Steels Limited", "Rationale")</f>
        <v/>
      </c>
    </row>
    <row r="957">
      <c r="A957" s="0" t="s">
        <v>2398</v>
      </c>
      <c r="B957" s="0" t="s">
        <v>2399</v>
      </c>
      <c r="C957" s="0" t="s">
        <v>2327</v>
      </c>
      <c r="D957" s="0">
        <f dt2D="0" dtr="0">HYPERLINK("https://www.icra.in/Rating/RatingDetails?CompanyId=0&amp;CompanyName=Jinaehat Export Private Limited", "Rationale")</f>
        <v/>
      </c>
    </row>
    <row r="958">
      <c r="A958" s="0" t="s">
        <v>2400</v>
      </c>
      <c r="B958" s="0" t="s">
        <v>2401</v>
      </c>
      <c r="C958" s="0" t="s">
        <v>2402</v>
      </c>
      <c r="D958" s="0">
        <f dt2D="0" dtr="0">HYPERLINK("https://www.icra.in/Rating/RatingDetails?CompanyId=0&amp;CompanyName=Jindal Trading Company", "Rationale")</f>
        <v/>
      </c>
    </row>
    <row r="959">
      <c r="A959" s="0" t="s">
        <v>2403</v>
      </c>
      <c r="B959" s="0" t="s">
        <v>2404</v>
      </c>
      <c r="C959" s="0" t="s">
        <v>1335</v>
      </c>
      <c r="D959" s="0">
        <f dt2D="0" dtr="0">HYPERLINK("https://www.icra.in/Rating/RatingDetails?CompanyId=0&amp;CompanyName=Jineshwar Malleable &amp; Alloys", "Rationale")</f>
        <v/>
      </c>
    </row>
    <row r="960">
      <c r="A960" s="0" t="s">
        <v>2405</v>
      </c>
      <c r="B960" s="0" t="s">
        <v>2406</v>
      </c>
      <c r="C960" s="0" t="s">
        <v>514</v>
      </c>
      <c r="D960" s="0">
        <f dt2D="0" dtr="0">HYPERLINK("https://www.icra.in/Rating/RatingDetails?CompanyId=0&amp;CompanyName=Jl Hotels Private Limited", "Rationale")</f>
        <v/>
      </c>
    </row>
    <row r="961">
      <c r="A961" s="0" t="s">
        <v>2407</v>
      </c>
      <c r="B961" s="0" t="s">
        <v>2408</v>
      </c>
      <c r="C961" s="0" t="s">
        <v>2409</v>
      </c>
      <c r="D961" s="0">
        <f dt2D="0" dtr="0">HYPERLINK("https://www.icra.in/Rating/RatingDetails?CompanyId=0&amp;CompanyName=JMT Auto Limited", "Rationale")</f>
        <v/>
      </c>
    </row>
    <row r="962">
      <c r="A962" s="0" t="s">
        <v>2410</v>
      </c>
      <c r="B962" s="0" t="s">
        <v>2411</v>
      </c>
      <c r="C962" s="0" t="s">
        <v>314</v>
      </c>
      <c r="D962" s="0">
        <f dt2D="0" dtr="0">HYPERLINK("https://www.icra.in/Rating/RatingDetails?CompanyId=0&amp;CompanyName=Jonas Petro Products Private Limited", "Rationale")</f>
        <v/>
      </c>
    </row>
    <row r="963">
      <c r="A963" s="0" t="s">
        <v>2412</v>
      </c>
      <c r="B963" s="0" t="s">
        <v>2413</v>
      </c>
      <c r="C963" s="0" t="s">
        <v>1734</v>
      </c>
      <c r="D963" s="0">
        <f dt2D="0" dtr="0">HYPERLINK("https://www.icra.in/Rating/RatingDetails?CompanyId=0&amp;CompanyName=Jonna Steels", "Rationale")</f>
        <v/>
      </c>
    </row>
    <row r="964">
      <c r="A964" s="0" t="s">
        <v>2414</v>
      </c>
      <c r="B964" s="0" t="s">
        <v>2415</v>
      </c>
      <c r="C964" s="0" t="s">
        <v>797</v>
      </c>
      <c r="D964" s="0">
        <f dt2D="0" dtr="0">HYPERLINK("https://www.icra.in/Rating/RatingDetails?CompanyId=0&amp;CompanyName=JOP Hotels Limited", "Rationale")</f>
        <v/>
      </c>
    </row>
    <row r="965">
      <c r="A965" s="0" t="s">
        <v>2416</v>
      </c>
      <c r="B965" s="0" t="s">
        <v>2417</v>
      </c>
      <c r="C965" s="0" t="s">
        <v>165</v>
      </c>
      <c r="D965" s="0">
        <f dt2D="0" dtr="0">HYPERLINK("https://www.icra.in/Rating/RatingDetails?CompanyId=0&amp;CompanyName=Joseph Leslie &amp; Company LLP", "Rationale")</f>
        <v/>
      </c>
    </row>
    <row r="966">
      <c r="A966" s="0" t="s">
        <v>2418</v>
      </c>
      <c r="B966" s="0" t="s">
        <v>2419</v>
      </c>
      <c r="C966" s="0" t="s">
        <v>2420</v>
      </c>
      <c r="D966" s="0">
        <f dt2D="0" dtr="0">HYPERLINK("https://www.icra.in/Rating/RatingDetails?CompanyId=0&amp;CompanyName=Jot Impex Pvt Ltd", "Rationale")</f>
        <v/>
      </c>
    </row>
    <row r="967">
      <c r="A967" s="0" t="s">
        <v>2421</v>
      </c>
      <c r="B967" s="0" t="s">
        <v>2422</v>
      </c>
      <c r="C967" s="0" t="s">
        <v>71</v>
      </c>
      <c r="D967" s="0">
        <f dt2D="0" dtr="0">HYPERLINK("https://www.icra.in/Rating/RatingDetails?CompanyId=0&amp;CompanyName=Joymakali Cold Storage Private Limited", "Rationale")</f>
        <v/>
      </c>
    </row>
    <row r="968">
      <c r="A968" s="0" t="s">
        <v>2423</v>
      </c>
      <c r="B968" s="0" t="s">
        <v>2424</v>
      </c>
      <c r="C968" s="0" t="s">
        <v>2425</v>
      </c>
      <c r="D968" s="0">
        <f dt2D="0" dtr="0">HYPERLINK("https://www.icra.in/Rating/RatingDetails?CompanyId=0&amp;CompanyName=Jp Sortex Private Limited", "Rationale")</f>
        <v/>
      </c>
    </row>
    <row r="969">
      <c r="A969" s="0" t="s">
        <v>2426</v>
      </c>
      <c r="B969" s="0" t="s">
        <v>2427</v>
      </c>
      <c r="C969" s="0" t="s">
        <v>2428</v>
      </c>
      <c r="D969" s="0">
        <f dt2D="0" dtr="0">HYPERLINK("https://www.icra.in/Rating/RatingDetails?CompanyId=0&amp;CompanyName=JPC Infra Private Limited", "Rationale")</f>
        <v/>
      </c>
    </row>
    <row r="970">
      <c r="A970" s="0" t="s">
        <v>2429</v>
      </c>
      <c r="B970" s="0" t="s">
        <v>2430</v>
      </c>
      <c r="C970" s="0" t="s">
        <v>986</v>
      </c>
      <c r="D970" s="0">
        <f dt2D="0" dtr="0">HYPERLINK("https://www.icra.in/Rating/RatingDetails?CompanyId=0&amp;CompanyName=JS Estates and Projects Private Limited", "Rationale")</f>
        <v/>
      </c>
    </row>
    <row r="971">
      <c r="A971" s="0" t="s">
        <v>2431</v>
      </c>
      <c r="B971" s="0" t="s">
        <v>2432</v>
      </c>
      <c r="C971" s="0" t="s">
        <v>2433</v>
      </c>
      <c r="D971" s="0">
        <f dt2D="0" dtr="0">HYPERLINK("https://www.icra.in/Rating/RatingDetails?CompanyId=0&amp;CompanyName=JSB Aluminium Private Limited", "Rationale")</f>
        <v/>
      </c>
    </row>
    <row r="972">
      <c r="A972" s="0" t="s">
        <v>2434</v>
      </c>
      <c r="B972" s="0" t="s">
        <v>2435</v>
      </c>
      <c r="C972" s="0" t="s">
        <v>2436</v>
      </c>
      <c r="D972" s="0">
        <f dt2D="0" dtr="0">HYPERLINK("https://www.icra.in/Rating/RatingDetails?CompanyId=0&amp;CompanyName=JSG Innotech Private Limited", "Rationale")</f>
        <v/>
      </c>
    </row>
    <row r="973">
      <c r="A973" s="0" t="s">
        <v>2437</v>
      </c>
      <c r="B973" s="0" t="s">
        <v>2438</v>
      </c>
      <c r="C973" s="0" t="s">
        <v>1718</v>
      </c>
      <c r="D973" s="0">
        <f dt2D="0" dtr="0">HYPERLINK("https://www.icra.in/Rating/RatingDetails?CompanyId=0&amp;CompanyName=JSK Marketing Limited", "Rationale")</f>
        <v/>
      </c>
    </row>
    <row r="974">
      <c r="A974" s="0" t="s">
        <v>2439</v>
      </c>
      <c r="B974" s="0" t="s">
        <v>2440</v>
      </c>
      <c r="C974" s="0" t="s">
        <v>1742</v>
      </c>
      <c r="D974" s="0">
        <f dt2D="0" dtr="0">HYPERLINK("https://www.icra.in/Rating/RatingDetails?CompanyId=0&amp;CompanyName=Jumbo Roofings and Tiles", "Rationale")</f>
        <v/>
      </c>
    </row>
    <row r="975">
      <c r="A975" s="0" t="s">
        <v>2441</v>
      </c>
      <c r="B975" s="0" t="s">
        <v>2442</v>
      </c>
      <c r="C975" s="0" t="s">
        <v>2443</v>
      </c>
      <c r="D975" s="0">
        <f dt2D="0" dtr="0">HYPERLINK("https://www.icra.in/Rating/RatingDetails?CompanyId=0&amp;CompanyName=Jungle Homes Holidays Private Limited", "Rationale")</f>
        <v/>
      </c>
    </row>
    <row r="976">
      <c r="A976" s="0" t="s">
        <v>2444</v>
      </c>
      <c r="B976" s="0" t="s">
        <v>2445</v>
      </c>
      <c r="C976" s="0" t="s">
        <v>71</v>
      </c>
      <c r="D976" s="0">
        <f dt2D="0" dtr="0">HYPERLINK("https://www.icra.in/Rating/RatingDetails?CompanyId=0&amp;CompanyName=Jyote Motors Private Limited", "Rationale")</f>
        <v/>
      </c>
    </row>
    <row r="977">
      <c r="A977" s="0" t="s">
        <v>2446</v>
      </c>
      <c r="B977" s="0" t="s">
        <v>2447</v>
      </c>
      <c r="C977" s="0" t="s">
        <v>2448</v>
      </c>
      <c r="D977" s="0">
        <f dt2D="0" dtr="0">HYPERLINK("https://www.icra.in/Rating/RatingDetails?CompanyId=0&amp;CompanyName=Jyoti General Industries", "Rationale")</f>
        <v/>
      </c>
    </row>
    <row r="978">
      <c r="A978" s="0" t="s">
        <v>2449</v>
      </c>
      <c r="B978" s="0" t="s">
        <v>2450</v>
      </c>
      <c r="C978" s="0" t="s">
        <v>71</v>
      </c>
      <c r="D978" s="0">
        <f dt2D="0" dtr="0">HYPERLINK("https://www.icra.in/Rating/RatingDetails?CompanyId=0&amp;CompanyName=Jyoti Vincom Private Limited", "Rationale")</f>
        <v/>
      </c>
    </row>
    <row r="979">
      <c r="A979" s="0" t="s">
        <v>2451</v>
      </c>
      <c r="B979" s="0" t="s">
        <v>2452</v>
      </c>
      <c r="C979" s="0" t="s">
        <v>2453</v>
      </c>
      <c r="D979" s="0">
        <f dt2D="0" dtr="0">HYPERLINK("https://www.icra.in/Rating/RatingDetails?CompanyId=0&amp;CompanyName=K B D Industries LLP", "Rationale")</f>
        <v/>
      </c>
    </row>
    <row r="980">
      <c r="A980" s="0" t="s">
        <v>2454</v>
      </c>
      <c r="B980" s="0" t="s">
        <v>2455</v>
      </c>
      <c r="C980" s="0" t="s">
        <v>402</v>
      </c>
      <c r="D980" s="0">
        <f dt2D="0" dtr="0">HYPERLINK("https://www.icra.in/Rating/RatingDetails?CompanyId=0&amp;CompanyName=K G N Electricals", "Rationale")</f>
        <v/>
      </c>
    </row>
    <row r="981">
      <c r="A981" s="0" t="s">
        <v>2456</v>
      </c>
      <c r="B981" s="0" t="s">
        <v>2457</v>
      </c>
      <c r="C981" s="0" t="s">
        <v>192</v>
      </c>
      <c r="D981" s="0">
        <f dt2D="0" dtr="0">HYPERLINK("https://www.icra.in/Rating/RatingDetails?CompanyId=0&amp;CompanyName=K Mohan &amp; Company (Exports) Private Limited", "Rationale")</f>
        <v/>
      </c>
    </row>
    <row r="982">
      <c r="A982" s="0" t="s">
        <v>2458</v>
      </c>
      <c r="B982" s="0" t="s">
        <v>2459</v>
      </c>
      <c r="C982" s="0" t="s">
        <v>1914</v>
      </c>
      <c r="D982" s="0">
        <f dt2D="0" dtr="0">HYPERLINK("https://www.icra.in/Rating/RatingDetails?CompanyId=0&amp;CompanyName=K S Infra Transmission Private Limited", "Rationale")</f>
        <v/>
      </c>
    </row>
    <row r="983">
      <c r="A983" s="0" t="s">
        <v>2460</v>
      </c>
      <c r="B983" s="0" t="s">
        <v>2461</v>
      </c>
      <c r="C983" s="0" t="s">
        <v>2462</v>
      </c>
      <c r="D983" s="0">
        <f dt2D="0" dtr="0">HYPERLINK("https://www.icra.in/Rating/RatingDetails?CompanyId=0&amp;CompanyName=K V Aromatics Private Limited", "Rationale")</f>
        <v/>
      </c>
    </row>
    <row r="984">
      <c r="A984" s="0" t="s">
        <v>2463</v>
      </c>
      <c r="B984" s="0" t="s">
        <v>2464</v>
      </c>
      <c r="C984" s="0" t="s">
        <v>71</v>
      </c>
      <c r="D984" s="0">
        <f dt2D="0" dtr="0">HYPERLINK("https://www.icra.in/Rating/RatingDetails?CompanyId=0&amp;CompanyName=K. B. Products Private Limited", "Rationale")</f>
        <v/>
      </c>
    </row>
    <row r="985">
      <c r="A985" s="0" t="s">
        <v>2465</v>
      </c>
      <c r="B985" s="0" t="s">
        <v>2466</v>
      </c>
      <c r="C985" s="0" t="s">
        <v>278</v>
      </c>
      <c r="D985" s="0">
        <f dt2D="0" dtr="0">HYPERLINK("https://www.icra.in/Rating/RatingDetails?CompanyId=0&amp;CompanyName=K. C. Ferro &amp; Rerolling Mills Private Limited", "Rationale")</f>
        <v/>
      </c>
    </row>
    <row r="986">
      <c r="A986" s="0" t="s">
        <v>2467</v>
      </c>
      <c r="B986" s="0" t="s">
        <v>2468</v>
      </c>
      <c r="C986" s="0" t="s">
        <v>2469</v>
      </c>
      <c r="D986" s="0">
        <f dt2D="0" dtr="0">HYPERLINK("https://www.icra.in/Rating/RatingDetails?CompanyId=0&amp;CompanyName=K. K. Cotex", "Rationale")</f>
        <v/>
      </c>
    </row>
    <row r="987">
      <c r="A987" s="0" t="s">
        <v>2470</v>
      </c>
      <c r="B987" s="0" t="s">
        <v>2471</v>
      </c>
      <c r="C987" s="0" t="s">
        <v>223</v>
      </c>
      <c r="D987" s="0">
        <f dt2D="0" dtr="0">HYPERLINK("https://www.icra.in/Rating/RatingDetails?CompanyId=0&amp;CompanyName=K. M. Fisheries", "Rationale")</f>
        <v/>
      </c>
    </row>
    <row r="988">
      <c r="A988" s="0" t="s">
        <v>2472</v>
      </c>
      <c r="B988" s="0" t="s">
        <v>2473</v>
      </c>
      <c r="C988" s="0" t="s">
        <v>834</v>
      </c>
      <c r="D988" s="0">
        <f dt2D="0" dtr="0">HYPERLINK("https://www.icra.in/Rating/RatingDetails?CompanyId=0&amp;CompanyName=K. Madana Mohana Rao And Company", "Rationale")</f>
        <v/>
      </c>
    </row>
    <row r="989">
      <c r="A989" s="0" t="s">
        <v>2474</v>
      </c>
      <c r="B989" s="0" t="s">
        <v>2475</v>
      </c>
      <c r="C989" s="0" t="s">
        <v>92</v>
      </c>
      <c r="D989" s="0">
        <f dt2D="0" dtr="0">HYPERLINK("https://www.icra.in/Rating/RatingDetails?CompanyId=0&amp;CompanyName=K. Prasad Babu", "Rationale")</f>
        <v/>
      </c>
    </row>
    <row r="990">
      <c r="A990" s="0" t="s">
        <v>2476</v>
      </c>
      <c r="B990" s="0" t="s">
        <v>2477</v>
      </c>
      <c r="C990" s="0" t="s">
        <v>18</v>
      </c>
      <c r="D990" s="0">
        <f dt2D="0" dtr="0">HYPERLINK("https://www.icra.in/Rating/RatingDetails?CompanyId=0&amp;CompanyName=K. R. Anand", "Rationale")</f>
        <v/>
      </c>
    </row>
    <row r="991">
      <c r="A991" s="0" t="s">
        <v>2478</v>
      </c>
      <c r="B991" s="0" t="s">
        <v>2479</v>
      </c>
      <c r="C991" s="0" t="s">
        <v>2480</v>
      </c>
      <c r="D991" s="0">
        <f dt2D="0" dtr="0">HYPERLINK("https://www.icra.in/Rating/RatingDetails?CompanyId=0&amp;CompanyName=K. Rasiklal Exim Pvt. Ltd.", "Rationale")</f>
        <v/>
      </c>
    </row>
    <row r="992">
      <c r="A992" s="0" t="s">
        <v>2481</v>
      </c>
      <c r="B992" s="0" t="s">
        <v>2482</v>
      </c>
      <c r="C992" s="0" t="s">
        <v>1335</v>
      </c>
      <c r="D992" s="0">
        <f dt2D="0" dtr="0">HYPERLINK("https://www.icra.in/Rating/RatingDetails?CompanyId=0&amp;CompanyName=K. S. Fiber", "Rationale")</f>
        <v/>
      </c>
    </row>
    <row r="993">
      <c r="A993" s="0" t="s">
        <v>2483</v>
      </c>
      <c r="B993" s="0" t="s">
        <v>2484</v>
      </c>
      <c r="C993" s="0" t="s">
        <v>492</v>
      </c>
      <c r="D993" s="0">
        <f dt2D="0" dtr="0">HYPERLINK("https://www.icra.in/Rating/RatingDetails?CompanyId=0&amp;CompanyName=K. Venkata Ramana Murthy &amp; Others", "Rationale")</f>
        <v/>
      </c>
    </row>
    <row r="994">
      <c r="A994" s="0" t="s">
        <v>2485</v>
      </c>
      <c r="B994" s="0" t="s">
        <v>2486</v>
      </c>
      <c r="C994" s="0" t="s">
        <v>361</v>
      </c>
      <c r="D994" s="0">
        <f dt2D="0" dtr="0">HYPERLINK("https://www.icra.in/Rating/RatingDetails?CompanyId=0&amp;CompanyName=K.C.Toolroom Private Limited", "Rationale")</f>
        <v/>
      </c>
    </row>
    <row r="995">
      <c r="A995" s="0" t="s">
        <v>2487</v>
      </c>
      <c r="B995" s="0" t="s">
        <v>2488</v>
      </c>
      <c r="C995" s="0" t="s">
        <v>71</v>
      </c>
      <c r="D995" s="0">
        <f dt2D="0" dtr="0">HYPERLINK("https://www.icra.in/Rating/RatingDetails?CompanyId=0&amp;CompanyName=K.K. Builders", "Rationale")</f>
        <v/>
      </c>
    </row>
    <row r="996">
      <c r="A996" s="0" t="s">
        <v>2489</v>
      </c>
      <c r="B996" s="0" t="s">
        <v>2490</v>
      </c>
      <c r="C996" s="0" t="s">
        <v>71</v>
      </c>
      <c r="D996" s="0">
        <f dt2D="0" dtr="0">HYPERLINK("https://www.icra.in/Rating/RatingDetails?CompanyId=0&amp;CompanyName=K.K. Leisures &amp; Tourism International Private Limited", "Rationale")</f>
        <v/>
      </c>
    </row>
    <row r="997">
      <c r="A997" s="0" t="s">
        <v>2491</v>
      </c>
      <c r="B997" s="0" t="s">
        <v>2492</v>
      </c>
      <c r="C997" s="0" t="s">
        <v>2493</v>
      </c>
      <c r="D997" s="0">
        <f dt2D="0" dtr="0">HYPERLINK("https://www.icra.in/Rating/RatingDetails?CompanyId=0&amp;CompanyName=K.K. Proteins Private Limited", "Rationale")</f>
        <v/>
      </c>
    </row>
    <row r="998">
      <c r="A998" s="0" t="s">
        <v>2494</v>
      </c>
      <c r="B998" s="0" t="s">
        <v>2495</v>
      </c>
      <c r="C998" s="0" t="s">
        <v>192</v>
      </c>
      <c r="D998" s="0">
        <f dt2D="0" dtr="0">HYPERLINK("https://www.icra.in/Rating/RatingDetails?CompanyId=0&amp;CompanyName=K.K.Kashyap Green Solar Energy Producer", "Rationale")</f>
        <v/>
      </c>
    </row>
    <row r="999">
      <c r="A999" s="0" t="s">
        <v>2496</v>
      </c>
      <c r="B999" s="0" t="s">
        <v>2497</v>
      </c>
      <c r="C999" s="0" t="s">
        <v>6</v>
      </c>
      <c r="D999" s="0">
        <f dt2D="0" dtr="0">HYPERLINK("https://www.icra.in/Rating/RatingDetails?CompanyId=0&amp;CompanyName=K.P. Saha Private Limited Unit: Maa Bameswari Rice Mill", "Rationale")</f>
        <v/>
      </c>
    </row>
    <row r="1000">
      <c r="A1000" s="0" t="s">
        <v>2498</v>
      </c>
      <c r="B1000" s="0" t="s">
        <v>2499</v>
      </c>
      <c r="C1000" s="0" t="s">
        <v>2500</v>
      </c>
      <c r="D1000" s="0">
        <f dt2D="0" dtr="0">HYPERLINK("https://www.icra.in/Rating/RatingDetails?CompanyId=0&amp;CompanyName=K.P.R. Agrochem Limited", "Rationale")</f>
        <v/>
      </c>
    </row>
    <row r="1001">
      <c r="A1001" s="0" t="s">
        <v>2501</v>
      </c>
      <c r="B1001" s="0" t="s">
        <v>2502</v>
      </c>
      <c r="C1001" s="0" t="s">
        <v>492</v>
      </c>
      <c r="D1001" s="0">
        <f dt2D="0" dtr="0">HYPERLINK("https://www.icra.in/Rating/RatingDetails?CompanyId=0&amp;CompanyName=K.P.R. Agros Poultries Private Limited", "Rationale")</f>
        <v/>
      </c>
    </row>
    <row r="1002">
      <c r="A1002" s="0" t="s">
        <v>2503</v>
      </c>
      <c r="B1002" s="0" t="s">
        <v>2504</v>
      </c>
      <c r="C1002" s="0" t="s">
        <v>2505</v>
      </c>
      <c r="D1002" s="0">
        <f dt2D="0" dtr="0">HYPERLINK("https://www.icra.in/Rating/RatingDetails?CompanyId=0&amp;CompanyName=K.P.R. Rice Mills", "Rationale")</f>
        <v/>
      </c>
    </row>
    <row r="1003">
      <c r="A1003" s="0" t="s">
        <v>2506</v>
      </c>
      <c r="B1003" s="0" t="s">
        <v>2507</v>
      </c>
      <c r="C1003" s="0" t="s">
        <v>71</v>
      </c>
      <c r="D1003" s="0">
        <f dt2D="0" dtr="0">HYPERLINK("https://www.icra.in/Rating/RatingDetails?CompanyId=0&amp;CompanyName=K.R.K. Educational Trust", "Rationale")</f>
        <v/>
      </c>
    </row>
    <row r="1004">
      <c r="A1004" s="0" t="s">
        <v>2508</v>
      </c>
      <c r="B1004" s="0" t="s">
        <v>2509</v>
      </c>
      <c r="C1004" s="0" t="s">
        <v>2510</v>
      </c>
      <c r="D1004" s="0">
        <f dt2D="0" dtr="0">HYPERLINK("https://www.icra.in/Rating/RatingDetails?CompanyId=0&amp;CompanyName=K.R.S. &amp; Jain Associates", "Rationale")</f>
        <v/>
      </c>
    </row>
    <row r="1005">
      <c r="A1005" s="0" t="s">
        <v>2511</v>
      </c>
      <c r="B1005" s="0" t="s">
        <v>2512</v>
      </c>
      <c r="C1005" s="0" t="s">
        <v>2513</v>
      </c>
      <c r="D1005" s="0">
        <f dt2D="0" dtr="0">HYPERLINK("https://www.icra.in/Rating/RatingDetails?CompanyId=0&amp;CompanyName=K2 Metals Private Limited", "Rationale")</f>
        <v/>
      </c>
    </row>
    <row r="1006">
      <c r="A1006" s="0" t="s">
        <v>2514</v>
      </c>
      <c r="B1006" s="0" t="s">
        <v>2515</v>
      </c>
      <c r="C1006" s="0" t="s">
        <v>2516</v>
      </c>
      <c r="D1006" s="0">
        <f dt2D="0" dtr="0">HYPERLINK("https://www.icra.in/Rating/RatingDetails?CompanyId=0&amp;CompanyName=Kadvani Forge Limited", "Rationale")</f>
        <v/>
      </c>
    </row>
    <row r="1007">
      <c r="A1007" s="0" t="s">
        <v>2517</v>
      </c>
      <c r="B1007" s="0" t="s">
        <v>2518</v>
      </c>
      <c r="C1007" s="0" t="s">
        <v>71</v>
      </c>
      <c r="D1007" s="0">
        <f dt2D="0" dtr="0">HYPERLINK("https://www.icra.in/Rating/RatingDetails?CompanyId=0&amp;CompanyName=Kailash Devbuild (India) Pvt Ltd", "Rationale")</f>
        <v/>
      </c>
    </row>
    <row r="1008">
      <c r="A1008" s="0" t="s">
        <v>2519</v>
      </c>
      <c r="B1008" s="0" t="s">
        <v>2520</v>
      </c>
      <c r="C1008" s="0" t="s">
        <v>1274</v>
      </c>
      <c r="D1008" s="0">
        <f dt2D="0" dtr="0">HYPERLINK("https://www.icra.in/Rating/RatingDetails?CompanyId=0&amp;CompanyName=Kailash Infratech Private Limited", "Rationale")</f>
        <v/>
      </c>
    </row>
    <row r="1009">
      <c r="A1009" s="0" t="s">
        <v>2521</v>
      </c>
      <c r="B1009" s="0" t="s">
        <v>2522</v>
      </c>
      <c r="C1009" s="0" t="s">
        <v>6</v>
      </c>
      <c r="D1009" s="0">
        <f dt2D="0" dtr="0">HYPERLINK("https://www.icra.in/Rating/RatingDetails?CompanyId=0&amp;CompanyName=Kailash Trading Corporation", "Rationale")</f>
        <v/>
      </c>
    </row>
    <row r="1010">
      <c r="A1010" s="0" t="s">
        <v>2523</v>
      </c>
      <c r="B1010" s="0" t="s">
        <v>2524</v>
      </c>
      <c r="C1010" s="0" t="s">
        <v>2525</v>
      </c>
      <c r="D1010" s="0">
        <f dt2D="0" dtr="0">HYPERLINK("https://www.icra.in/Rating/RatingDetails?CompanyId=0&amp;CompanyName=Kajaria Infinity Private Limited (Formerly known as Cosa Ceramics Private Limited)", "Rationale")</f>
        <v/>
      </c>
    </row>
    <row r="1011">
      <c r="A1011" s="0" t="s">
        <v>2526</v>
      </c>
      <c r="B1011" s="0" t="s">
        <v>2527</v>
      </c>
      <c r="C1011" s="0" t="s">
        <v>1764</v>
      </c>
      <c r="D1011" s="0">
        <f dt2D="0" dtr="0">HYPERLINK("https://www.icra.in/Rating/RatingDetails?CompanyId=0&amp;CompanyName=Kakatiya Constructions", "Rationale")</f>
        <v/>
      </c>
    </row>
    <row r="1012">
      <c r="A1012" s="0" t="s">
        <v>2528</v>
      </c>
      <c r="B1012" s="0" t="s">
        <v>2529</v>
      </c>
      <c r="C1012" s="0" t="s">
        <v>2530</v>
      </c>
      <c r="D1012" s="0">
        <f dt2D="0" dtr="0">HYPERLINK("https://www.icra.in/Rating/RatingDetails?CompanyId=0&amp;CompanyName=Kala Genset Private Limited", "Rationale")</f>
        <v/>
      </c>
    </row>
    <row r="1013">
      <c r="A1013" s="0" t="s">
        <v>2531</v>
      </c>
      <c r="B1013" s="0" t="s">
        <v>2532</v>
      </c>
      <c r="C1013" s="0" t="s">
        <v>2533</v>
      </c>
      <c r="D1013" s="0">
        <f dt2D="0" dtr="0">HYPERLINK("https://www.icra.in/Rating/RatingDetails?CompanyId=0&amp;CompanyName=Kali Aerated Water Works Private Limited", "Rationale")</f>
        <v/>
      </c>
    </row>
    <row r="1014">
      <c r="A1014" s="0" t="s">
        <v>2534</v>
      </c>
      <c r="B1014" s="0" t="s">
        <v>2535</v>
      </c>
      <c r="C1014" s="0" t="s">
        <v>2536</v>
      </c>
      <c r="D1014" s="0">
        <f dt2D="0" dtr="0">HYPERLINK("https://www.icra.in/Rating/RatingDetails?CompanyId=0&amp;CompanyName=Kalinga Breeding Farms Private Limited", "Rationale")</f>
        <v/>
      </c>
    </row>
    <row r="1015">
      <c r="A1015" s="0" t="s">
        <v>2537</v>
      </c>
      <c r="B1015" s="0" t="s">
        <v>2538</v>
      </c>
      <c r="C1015" s="0" t="s">
        <v>2533</v>
      </c>
      <c r="D1015" s="0">
        <f dt2D="0" dtr="0">HYPERLINK("https://www.icra.in/Rating/RatingDetails?CompanyId=0&amp;CompanyName=Kalis Sparkling Water (P) Ltd.", "Rationale")</f>
        <v/>
      </c>
    </row>
    <row r="1016">
      <c r="A1016" s="0" t="s">
        <v>2539</v>
      </c>
      <c r="B1016" s="0" t="s">
        <v>2540</v>
      </c>
      <c r="C1016" s="0" t="s">
        <v>652</v>
      </c>
      <c r="D1016" s="0">
        <f dt2D="0" dtr="0">HYPERLINK("https://www.icra.in/Rating/RatingDetails?CompanyId=0&amp;CompanyName=Kallam Agro Products &amp; Oils (P) Limited", "Rationale")</f>
        <v/>
      </c>
    </row>
    <row r="1017">
      <c r="A1017" s="0" t="s">
        <v>2541</v>
      </c>
      <c r="B1017" s="0" t="s">
        <v>2542</v>
      </c>
      <c r="C1017" s="0" t="s">
        <v>1072</v>
      </c>
      <c r="D1017" s="0">
        <f dt2D="0" dtr="0">HYPERLINK("https://www.icra.in/Rating/RatingDetails?CompanyId=0&amp;CompanyName=Kalpana Impex", "Rationale")</f>
        <v/>
      </c>
    </row>
    <row r="1018">
      <c r="A1018" s="0" t="s">
        <v>2543</v>
      </c>
      <c r="B1018" s="0" t="s">
        <v>2544</v>
      </c>
      <c r="C1018" s="0" t="s">
        <v>71</v>
      </c>
      <c r="D1018" s="0">
        <f dt2D="0" dtr="0">HYPERLINK("https://www.icra.in/Rating/RatingDetails?CompanyId=0&amp;CompanyName=Kalpana Wines", "Rationale")</f>
        <v/>
      </c>
    </row>
    <row r="1019">
      <c r="A1019" s="0" t="s">
        <v>2545</v>
      </c>
      <c r="B1019" s="0" t="s">
        <v>2546</v>
      </c>
      <c r="C1019" s="0" t="s">
        <v>242</v>
      </c>
      <c r="D1019" s="0">
        <f dt2D="0" dtr="0">HYPERLINK("https://www.icra.in/Rating/RatingDetails?CompanyId=0&amp;CompanyName=Kalpesh Synthetics Private Limited", "Rationale")</f>
        <v/>
      </c>
    </row>
    <row r="1020">
      <c r="A1020" s="0" t="s">
        <v>2547</v>
      </c>
      <c r="B1020" s="0" t="s">
        <v>2548</v>
      </c>
      <c r="C1020" s="0" t="s">
        <v>2292</v>
      </c>
      <c r="D1020" s="0">
        <f dt2D="0" dtr="0">HYPERLINK("https://www.icra.in/Rating/RatingDetails?CompanyId=0&amp;CompanyName=Kalra Overseas &amp; Precision Engineering Limited", "Rationale")</f>
        <v/>
      </c>
    </row>
    <row r="1021">
      <c r="A1021" s="0" t="s">
        <v>2549</v>
      </c>
      <c r="B1021" s="0" t="s">
        <v>2550</v>
      </c>
      <c r="C1021" s="0" t="s">
        <v>1522</v>
      </c>
      <c r="D1021" s="0">
        <f dt2D="0" dtr="0">HYPERLINK("https://www.icra.in/Rating/RatingDetails?CompanyId=0&amp;CompanyName=Kalsi Brothers", "Rationale")</f>
        <v/>
      </c>
    </row>
    <row r="1022">
      <c r="A1022" s="0" t="s">
        <v>2551</v>
      </c>
      <c r="B1022" s="0" t="s">
        <v>2552</v>
      </c>
      <c r="C1022" s="0" t="s">
        <v>2553</v>
      </c>
      <c r="D1022" s="0">
        <f dt2D="0" dtr="0">HYPERLINK("https://www.icra.in/Rating/RatingDetails?CompanyId=0&amp;CompanyName=Kalthia Bhavnagar Pipli Highway Pvt. Ltd.", "Rationale")</f>
        <v/>
      </c>
    </row>
    <row r="1023">
      <c r="A1023" s="0" t="s">
        <v>2554</v>
      </c>
      <c r="B1023" s="0" t="s">
        <v>2555</v>
      </c>
      <c r="C1023" s="0" t="s">
        <v>2553</v>
      </c>
      <c r="D1023" s="0">
        <f dt2D="0" dtr="0">HYPERLINK("https://www.icra.in/Rating/RatingDetails?CompanyId=0&amp;CompanyName=Kalthia Infra Projects Private Limited", "Rationale")</f>
        <v/>
      </c>
    </row>
    <row r="1024">
      <c r="A1024" s="0" t="s">
        <v>2556</v>
      </c>
      <c r="B1024" s="0" t="s">
        <v>2557</v>
      </c>
      <c r="C1024" s="0" t="s">
        <v>2558</v>
      </c>
      <c r="D1024" s="0">
        <f dt2D="0" dtr="0">HYPERLINK("https://www.icra.in/Rating/RatingDetails?CompanyId=0&amp;CompanyName=Kalthia Infra-Con Private Limited", "Rationale")</f>
        <v/>
      </c>
    </row>
    <row r="1025">
      <c r="A1025" s="0" t="s">
        <v>2559</v>
      </c>
      <c r="B1025" s="0" t="s">
        <v>2560</v>
      </c>
      <c r="C1025" s="0" t="s">
        <v>405</v>
      </c>
      <c r="D1025" s="0">
        <f dt2D="0" dtr="0">HYPERLINK("https://www.icra.in/Rating/RatingDetails?CompanyId=0&amp;CompanyName=Kalwakurthy Municipality", "Rationale")</f>
        <v/>
      </c>
    </row>
    <row r="1026">
      <c r="A1026" s="0" t="s">
        <v>2561</v>
      </c>
      <c r="B1026" s="0" t="s">
        <v>2562</v>
      </c>
      <c r="C1026" s="0" t="s">
        <v>511</v>
      </c>
      <c r="D1026" s="0">
        <f dt2D="0" dtr="0">HYPERLINK("https://www.icra.in/Rating/RatingDetails?CompanyId=0&amp;CompanyName=Kalya Constructions Private Limited", "Rationale")</f>
        <v/>
      </c>
    </row>
    <row r="1027">
      <c r="A1027" s="0" t="s">
        <v>2563</v>
      </c>
      <c r="B1027" s="0" t="s">
        <v>2564</v>
      </c>
      <c r="C1027" s="0" t="s">
        <v>2565</v>
      </c>
      <c r="D1027" s="0">
        <f dt2D="0" dtr="0">HYPERLINK("https://www.icra.in/Rating/RatingDetails?CompanyId=0&amp;CompanyName=Kalyani Developers", "Rationale")</f>
        <v/>
      </c>
    </row>
    <row r="1028">
      <c r="A1028" s="0" t="s">
        <v>2566</v>
      </c>
      <c r="B1028" s="0" t="s">
        <v>2567</v>
      </c>
      <c r="C1028" s="0" t="s">
        <v>2568</v>
      </c>
      <c r="D1028" s="0">
        <f dt2D="0" dtr="0">HYPERLINK("https://www.icra.in/Rating/RatingDetails?CompanyId=0&amp;CompanyName=Kalyani Techpark Private Limited", "Rationale")</f>
        <v/>
      </c>
    </row>
    <row r="1029">
      <c r="A1029" s="0" t="s">
        <v>2569</v>
      </c>
      <c r="B1029" s="0" t="s">
        <v>2570</v>
      </c>
      <c r="C1029" s="0" t="s">
        <v>2571</v>
      </c>
      <c r="D1029" s="0">
        <f dt2D="0" dtr="0">HYPERLINK("https://www.icra.in/Rating/RatingDetails?CompanyId=0&amp;CompanyName=Kamakhya Board", "Rationale")</f>
        <v/>
      </c>
    </row>
    <row r="1030">
      <c r="A1030" s="0" t="s">
        <v>2572</v>
      </c>
      <c r="B1030" s="0" t="s">
        <v>2573</v>
      </c>
      <c r="C1030" s="0" t="s">
        <v>71</v>
      </c>
      <c r="D1030" s="0">
        <f dt2D="0" dtr="0">HYPERLINK("https://www.icra.in/Rating/RatingDetails?CompanyId=0&amp;CompanyName=Kamakhya Traders", "Rationale")</f>
        <v/>
      </c>
    </row>
    <row r="1031">
      <c r="A1031" s="0" t="s">
        <v>2574</v>
      </c>
      <c r="B1031" s="0" t="s">
        <v>2575</v>
      </c>
      <c r="C1031" s="0" t="s">
        <v>103</v>
      </c>
      <c r="D1031" s="0">
        <f dt2D="0" dtr="0">HYPERLINK("https://www.icra.in/Rating/RatingDetails?CompanyId=0&amp;CompanyName=Kamala Board Box Pvt. Ltd.", "Rationale")</f>
        <v/>
      </c>
    </row>
    <row r="1032">
      <c r="A1032" s="0" t="s">
        <v>2576</v>
      </c>
      <c r="B1032" s="0" t="s">
        <v>2577</v>
      </c>
      <c r="C1032" s="0" t="s">
        <v>709</v>
      </c>
      <c r="D1032" s="0">
        <f dt2D="0" dtr="0">HYPERLINK("https://www.icra.in/Rating/RatingDetails?CompanyId=0&amp;CompanyName=Kamareddy Municipality", "Rationale")</f>
        <v/>
      </c>
    </row>
    <row r="1033">
      <c r="A1033" s="0" t="s">
        <v>2578</v>
      </c>
      <c r="B1033" s="0" t="s">
        <v>2579</v>
      </c>
      <c r="C1033" s="0" t="s">
        <v>71</v>
      </c>
      <c r="D1033" s="0">
        <f dt2D="0" dtr="0">HYPERLINK("https://www.icra.in/Rating/RatingDetails?CompanyId=0&amp;CompanyName=Kamarli Steels Private Limited", "Rationale")</f>
        <v/>
      </c>
    </row>
    <row r="1034">
      <c r="A1034" s="0" t="s">
        <v>2580</v>
      </c>
      <c r="B1034" s="0" t="s">
        <v>2581</v>
      </c>
      <c r="C1034" s="0" t="s">
        <v>492</v>
      </c>
      <c r="D1034" s="0">
        <f dt2D="0" dtr="0">HYPERLINK("https://www.icra.in/Rating/RatingDetails?CompanyId=0&amp;CompanyName=Kamlesh Metacast Private Limited", "Rationale")</f>
        <v/>
      </c>
    </row>
    <row r="1035">
      <c r="A1035" s="0" t="s">
        <v>2582</v>
      </c>
      <c r="B1035" s="0" t="s">
        <v>2583</v>
      </c>
      <c r="C1035" s="0" t="s">
        <v>2584</v>
      </c>
      <c r="D1035" s="0">
        <f dt2D="0" dtr="0">HYPERLINK("https://www.icra.in/Rating/RatingDetails?CompanyId=0&amp;CompanyName=Kamman Corporation", "Rationale")</f>
        <v/>
      </c>
    </row>
    <row r="1036">
      <c r="A1036" s="0" t="s">
        <v>2585</v>
      </c>
      <c r="B1036" s="0" t="s">
        <v>2586</v>
      </c>
      <c r="C1036" s="0" t="s">
        <v>71</v>
      </c>
      <c r="D1036" s="0">
        <f dt2D="0" dtr="0">HYPERLINK("https://www.icra.in/Rating/RatingDetails?CompanyId=0&amp;CompanyName=Kanchan Auto Private Limited", "Rationale")</f>
        <v/>
      </c>
    </row>
    <row r="1037">
      <c r="A1037" s="0" t="s">
        <v>2587</v>
      </c>
      <c r="B1037" s="0" t="s">
        <v>2588</v>
      </c>
      <c r="C1037" s="0" t="s">
        <v>71</v>
      </c>
      <c r="D1037" s="0">
        <f dt2D="0" dtr="0">HYPERLINK("https://www.icra.in/Rating/RatingDetails?CompanyId=0&amp;CompanyName=Kanchan Motors", "Rationale")</f>
        <v/>
      </c>
    </row>
    <row r="1038">
      <c r="A1038" s="0" t="s">
        <v>2589</v>
      </c>
      <c r="B1038" s="0" t="s">
        <v>2590</v>
      </c>
      <c r="C1038" s="0" t="s">
        <v>2591</v>
      </c>
      <c r="D1038" s="0">
        <f dt2D="0" dtr="0">HYPERLINK("https://www.icra.in/Rating/RatingDetails?CompanyId=0&amp;CompanyName=Kandala Distributors", "Rationale")</f>
        <v/>
      </c>
    </row>
    <row r="1039">
      <c r="A1039" s="0" t="s">
        <v>2592</v>
      </c>
      <c r="B1039" s="0" t="s">
        <v>2593</v>
      </c>
      <c r="C1039" s="0" t="s">
        <v>2594</v>
      </c>
      <c r="D1039" s="0">
        <f dt2D="0" dtr="0">HYPERLINK("https://www.icra.in/Rating/RatingDetails?CompanyId=0&amp;CompanyName=Kandalaa", "Rationale")</f>
        <v/>
      </c>
    </row>
    <row r="1040">
      <c r="A1040" s="0" t="s">
        <v>2595</v>
      </c>
      <c r="B1040" s="0" t="s">
        <v>2596</v>
      </c>
      <c r="C1040" s="0" t="s">
        <v>436</v>
      </c>
      <c r="D1040" s="0">
        <f dt2D="0" dtr="0">HYPERLINK("https://www.icra.in/Rating/RatingDetails?CompanyId=0&amp;CompanyName=Kanishk Metalloys", "Rationale")</f>
        <v/>
      </c>
    </row>
    <row r="1041">
      <c r="A1041" s="0" t="s">
        <v>2597</v>
      </c>
      <c r="B1041" s="0" t="s">
        <v>2598</v>
      </c>
      <c r="C1041" s="0" t="s">
        <v>2599</v>
      </c>
      <c r="D1041" s="0">
        <f dt2D="0" dtr="0">HYPERLINK("https://www.icra.in/Rating/RatingDetails?CompanyId=0&amp;CompanyName=Kansara Forge &amp; Wires Private Limited", "Rationale")</f>
        <v/>
      </c>
    </row>
    <row r="1042">
      <c r="A1042" s="0" t="s">
        <v>2600</v>
      </c>
      <c r="B1042" s="0" t="s">
        <v>2601</v>
      </c>
      <c r="C1042" s="0" t="s">
        <v>1314</v>
      </c>
      <c r="D1042" s="0">
        <f dt2D="0" dtr="0">HYPERLINK("https://www.icra.in/Rating/RatingDetails?CompanyId=0&amp;CompanyName=Kanti Floor Furnishers", "Rationale")</f>
        <v/>
      </c>
    </row>
    <row r="1043">
      <c r="A1043" s="0" t="s">
        <v>2602</v>
      </c>
      <c r="B1043" s="0" t="s">
        <v>2603</v>
      </c>
      <c r="C1043" s="0" t="s">
        <v>2604</v>
      </c>
      <c r="D1043" s="0">
        <f dt2D="0" dtr="0">HYPERLINK("https://www.icra.in/Rating/RatingDetails?CompanyId=0&amp;CompanyName=Kanyaka Corporation", "Rationale")</f>
        <v/>
      </c>
    </row>
    <row r="1044">
      <c r="A1044" s="0" t="s">
        <v>2605</v>
      </c>
      <c r="B1044" s="0" t="s">
        <v>2606</v>
      </c>
      <c r="C1044" s="0" t="s">
        <v>534</v>
      </c>
      <c r="D1044" s="0">
        <f dt2D="0" dtr="0">HYPERLINK("https://www.icra.in/Rating/RatingDetails?CompanyId=0&amp;CompanyName=Kapoor Oil Industries", "Rationale")</f>
        <v/>
      </c>
    </row>
    <row r="1045">
      <c r="A1045" s="0" t="s">
        <v>2607</v>
      </c>
      <c r="B1045" s="0" t="s">
        <v>2608</v>
      </c>
      <c r="C1045" s="0" t="s">
        <v>1610</v>
      </c>
      <c r="D1045" s="0">
        <f dt2D="0" dtr="0">HYPERLINK("https://www.icra.in/Rating/RatingDetails?CompanyId=0&amp;CompanyName=Kaprisa International Private Limited", "Rationale")</f>
        <v/>
      </c>
    </row>
    <row r="1046">
      <c r="A1046" s="0" t="s">
        <v>2609</v>
      </c>
      <c r="B1046" s="0" t="s">
        <v>2610</v>
      </c>
      <c r="C1046" s="0" t="s">
        <v>2359</v>
      </c>
      <c r="D1046" s="0">
        <f dt2D="0" dtr="0">HYPERLINK("https://www.icra.in/Rating/RatingDetails?CompanyId=0&amp;CompanyName=Kapsons Engineers Private Limited", "Rationale")</f>
        <v/>
      </c>
    </row>
    <row r="1047">
      <c r="A1047" s="0" t="s">
        <v>2611</v>
      </c>
      <c r="B1047" s="0" t="s">
        <v>2612</v>
      </c>
      <c r="C1047" s="0" t="s">
        <v>2613</v>
      </c>
      <c r="D1047" s="0">
        <f dt2D="0" dtr="0">HYPERLINK("https://www.icra.in/Rating/RatingDetails?CompanyId=0&amp;CompanyName=Karimnagar Municipal Corporation", "Rationale")</f>
        <v/>
      </c>
    </row>
    <row r="1048">
      <c r="A1048" s="0" t="s">
        <v>2614</v>
      </c>
      <c r="B1048" s="0" t="s">
        <v>2615</v>
      </c>
      <c r="C1048" s="0" t="s">
        <v>39</v>
      </c>
      <c r="D1048" s="0">
        <f dt2D="0" dtr="0">HYPERLINK("https://www.icra.in/Rating/RatingDetails?CompanyId=0&amp;CompanyName=Karlo Automobiles (P) Ltd", "Rationale")</f>
        <v/>
      </c>
    </row>
    <row r="1049">
      <c r="A1049" s="0" t="s">
        <v>2616</v>
      </c>
      <c r="B1049" s="0" t="s">
        <v>2617</v>
      </c>
      <c r="C1049" s="0" t="s">
        <v>2618</v>
      </c>
      <c r="D1049" s="0">
        <f dt2D="0" dtr="0">HYPERLINK("https://www.icra.in/Rating/RatingDetails?CompanyId=0&amp;CompanyName=Karna International", "Rationale")</f>
        <v/>
      </c>
    </row>
    <row r="1050">
      <c r="A1050" s="0" t="s">
        <v>2619</v>
      </c>
      <c r="B1050" s="0" t="s">
        <v>2620</v>
      </c>
      <c r="C1050" s="0" t="s">
        <v>588</v>
      </c>
      <c r="D1050" s="0">
        <f dt2D="0" dtr="0">HYPERLINK("https://www.icra.in/Rating/RatingDetails?CompanyId=0&amp;CompanyName=Karnataka Housing Board", "Rationale")</f>
        <v/>
      </c>
    </row>
    <row r="1051">
      <c r="A1051" s="0" t="s">
        <v>2621</v>
      </c>
      <c r="B1051" s="0" t="s">
        <v>2622</v>
      </c>
      <c r="C1051" s="0" t="s">
        <v>2623</v>
      </c>
      <c r="D1051" s="0">
        <f dt2D="0" dtr="0">HYPERLINK("https://www.icra.in/Rating/RatingDetails?CompanyId=0&amp;CompanyName=Karnataka Power Corporation Limited", "Rationale")</f>
        <v/>
      </c>
    </row>
    <row r="1052">
      <c r="A1052" s="0" t="s">
        <v>2624</v>
      </c>
      <c r="B1052" s="0" t="s">
        <v>2625</v>
      </c>
      <c r="C1052" s="0" t="s">
        <v>71</v>
      </c>
      <c r="D1052" s="0">
        <f dt2D="0" dtr="0">HYPERLINK("https://www.icra.in/Rating/RatingDetails?CompanyId=0&amp;CompanyName=Karnimata Cold Storage Limited (Erstwhile Karnimata Cold Storage Private Limited)", "Rationale")</f>
        <v/>
      </c>
    </row>
    <row r="1053">
      <c r="A1053" s="0" t="s">
        <v>2626</v>
      </c>
      <c r="B1053" s="0" t="s">
        <v>2627</v>
      </c>
      <c r="C1053" s="0" t="s">
        <v>758</v>
      </c>
      <c r="D1053" s="0">
        <f dt2D="0" dtr="0">HYPERLINK("https://www.icra.in/Rating/RatingDetails?CompanyId=0&amp;CompanyName=Karthik Roofings", "Rationale")</f>
        <v/>
      </c>
    </row>
    <row r="1054">
      <c r="A1054" s="0" t="s">
        <v>2628</v>
      </c>
      <c r="B1054" s="0" t="s">
        <v>2629</v>
      </c>
      <c r="C1054" s="0" t="s">
        <v>758</v>
      </c>
      <c r="D1054" s="0">
        <f dt2D="0" dtr="0">HYPERLINK("https://www.icra.in/Rating/RatingDetails?CompanyId=0&amp;CompanyName=Karthik Roofings and Structurals Pvt Ltd", "Rationale")</f>
        <v/>
      </c>
    </row>
    <row r="1055">
      <c r="A1055" s="0" t="s">
        <v>2630</v>
      </c>
      <c r="B1055" s="0" t="s">
        <v>2631</v>
      </c>
      <c r="C1055" s="0" t="s">
        <v>2632</v>
      </c>
      <c r="D1055" s="0">
        <f dt2D="0" dtr="0">HYPERLINK("https://www.icra.in/Rating/RatingDetails?CompanyId=0&amp;CompanyName=Kartikey Resorts And Hospitality (P) Limited", "Rationale")</f>
        <v/>
      </c>
    </row>
    <row r="1056">
      <c r="A1056" s="0" t="s">
        <v>2633</v>
      </c>
      <c r="B1056" s="0" t="s">
        <v>2634</v>
      </c>
      <c r="C1056" s="0" t="s">
        <v>2635</v>
      </c>
      <c r="D1056" s="0">
        <f dt2D="0" dtr="0">HYPERLINK("https://www.icra.in/Rating/RatingDetails?CompanyId=0&amp;CompanyName=Kartya Constructions Pvt. Ltd.", "Rationale")</f>
        <v/>
      </c>
    </row>
    <row r="1057">
      <c r="A1057" s="0" t="s">
        <v>2636</v>
      </c>
      <c r="B1057" s="0" t="s">
        <v>2637</v>
      </c>
      <c r="C1057" s="0" t="s">
        <v>2638</v>
      </c>
      <c r="D1057" s="0">
        <f dt2D="0" dtr="0">HYPERLINK("https://www.icra.in/Rating/RatingDetails?CompanyId=0&amp;CompanyName=Karunya Educational and Research Trust", "Rationale")</f>
        <v/>
      </c>
    </row>
    <row r="1058">
      <c r="A1058" s="0" t="s">
        <v>2639</v>
      </c>
      <c r="B1058" s="0" t="s">
        <v>2640</v>
      </c>
      <c r="C1058" s="0" t="s">
        <v>1340</v>
      </c>
      <c r="D1058" s="0">
        <f dt2D="0" dtr="0">HYPERLINK("https://www.icra.in/Rating/RatingDetails?CompanyId=0&amp;CompanyName=Karuppaswamy Builders Private Limited", "Rationale")</f>
        <v/>
      </c>
    </row>
    <row r="1059">
      <c r="A1059" s="0" t="s">
        <v>2641</v>
      </c>
      <c r="B1059" s="0" t="s">
        <v>2642</v>
      </c>
      <c r="C1059" s="0" t="s">
        <v>2643</v>
      </c>
      <c r="D1059" s="0">
        <f dt2D="0" dtr="0">HYPERLINK("https://www.icra.in/Rating/RatingDetails?CompanyId=0&amp;CompanyName=Karvy Financial Services Limited", "Rationale")</f>
        <v/>
      </c>
    </row>
    <row r="1060">
      <c r="A1060" s="0" t="s">
        <v>2644</v>
      </c>
      <c r="B1060" s="0" t="s">
        <v>2645</v>
      </c>
      <c r="C1060" s="0" t="s">
        <v>2646</v>
      </c>
      <c r="D1060" s="0">
        <f dt2D="0" dtr="0">HYPERLINK("https://www.icra.in/Rating/RatingDetails?CompanyId=0&amp;CompanyName=Karvy Stock Broking Limited", "Rationale")</f>
        <v/>
      </c>
    </row>
    <row r="1061">
      <c r="A1061" s="0" t="s">
        <v>2647</v>
      </c>
      <c r="B1061" s="0" t="s">
        <v>2648</v>
      </c>
      <c r="C1061" s="0" t="s">
        <v>1350</v>
      </c>
      <c r="D1061" s="0">
        <f dt2D="0" dtr="0">HYPERLINK("https://www.icra.in/Rating/RatingDetails?CompanyId=0&amp;CompanyName=Kasturchand Fertilizers Pvt. Ltd.", "Rationale")</f>
        <v/>
      </c>
    </row>
    <row r="1062">
      <c r="A1062" s="0" t="s">
        <v>2649</v>
      </c>
      <c r="B1062" s="0" t="s">
        <v>2650</v>
      </c>
      <c r="C1062" s="0" t="s">
        <v>71</v>
      </c>
      <c r="D1062" s="0">
        <f dt2D="0" dtr="0">HYPERLINK("https://www.icra.in/Rating/RatingDetails?CompanyId=0&amp;CompanyName=Kasturi Commodities Private Limited", "Rationale")</f>
        <v/>
      </c>
    </row>
    <row r="1063">
      <c r="A1063" s="0" t="s">
        <v>2651</v>
      </c>
      <c r="B1063" s="0" t="s">
        <v>2652</v>
      </c>
      <c r="C1063" s="0" t="s">
        <v>2653</v>
      </c>
      <c r="D1063" s="0">
        <f dt2D="0" dtr="0">HYPERLINK("https://www.icra.in/Rating/RatingDetails?CompanyId=0&amp;CompanyName=Katira Construction Ltd.", "Rationale")</f>
        <v/>
      </c>
    </row>
    <row r="1064">
      <c r="A1064" s="0" t="s">
        <v>2654</v>
      </c>
      <c r="B1064" s="0" t="s">
        <v>2655</v>
      </c>
      <c r="C1064" s="0" t="s">
        <v>2656</v>
      </c>
      <c r="D1064" s="0">
        <f dt2D="0" dtr="0">HYPERLINK("https://www.icra.in/Rating/RatingDetails?CompanyId=0&amp;CompanyName=Kavali Municipality", "Rationale")</f>
        <v/>
      </c>
    </row>
    <row r="1065">
      <c r="A1065" s="0" t="s">
        <v>2657</v>
      </c>
      <c r="B1065" s="0" t="s">
        <v>2658</v>
      </c>
      <c r="C1065" s="0" t="s">
        <v>2659</v>
      </c>
      <c r="D1065" s="0">
        <f dt2D="0" dtr="0">HYPERLINK("https://www.icra.in/Rating/RatingDetails?CompanyId=0&amp;CompanyName=Kavan Cotton Private Limited", "Rationale")</f>
        <v/>
      </c>
    </row>
    <row r="1066">
      <c r="A1066" s="0" t="s">
        <v>2660</v>
      </c>
      <c r="B1066" s="0" t="s">
        <v>2661</v>
      </c>
      <c r="C1066" s="0" t="s">
        <v>71</v>
      </c>
      <c r="D1066" s="0">
        <f dt2D="0" dtr="0">HYPERLINK("https://www.icra.in/Rating/RatingDetails?CompanyId=0&amp;CompanyName=Kaveri Cotex Private Limited", "Rationale")</f>
        <v/>
      </c>
    </row>
    <row r="1067">
      <c r="A1067" s="0" t="s">
        <v>2662</v>
      </c>
      <c r="B1067" s="0" t="s">
        <v>2663</v>
      </c>
      <c r="C1067" s="0" t="s">
        <v>2664</v>
      </c>
      <c r="D1067" s="0">
        <f dt2D="0" dtr="0">HYPERLINK("https://www.icra.in/Rating/RatingDetails?CompanyId=0&amp;CompanyName=Kay Bouvet Engineering Limited (Unit - I)", "Rationale")</f>
        <v/>
      </c>
    </row>
    <row r="1068">
      <c r="A1068" s="0" t="s">
        <v>2665</v>
      </c>
      <c r="B1068" s="0" t="s">
        <v>2666</v>
      </c>
      <c r="C1068" s="0" t="s">
        <v>2667</v>
      </c>
      <c r="D1068" s="0">
        <f dt2D="0" dtr="0">HYPERLINK("https://www.icra.in/Rating/RatingDetails?CompanyId=0&amp;CompanyName=Kay Jay Forgings Pvt.Ltd.", "Rationale")</f>
        <v/>
      </c>
    </row>
    <row r="1069">
      <c r="A1069" s="0" t="s">
        <v>2668</v>
      </c>
      <c r="B1069" s="0" t="s">
        <v>2669</v>
      </c>
      <c r="C1069" s="0" t="s">
        <v>71</v>
      </c>
      <c r="D1069" s="0">
        <f dt2D="0" dtr="0">HYPERLINK("https://www.icra.in/Rating/RatingDetails?CompanyId=0&amp;CompanyName=Kaya Knits", "Rationale")</f>
        <v/>
      </c>
    </row>
    <row r="1070">
      <c r="A1070" s="0" t="s">
        <v>2670</v>
      </c>
      <c r="B1070" s="0" t="s">
        <v>2671</v>
      </c>
      <c r="C1070" s="0" t="s">
        <v>2672</v>
      </c>
      <c r="D1070" s="0">
        <f dt2D="0" dtr="0">HYPERLINK("https://www.icra.in/Rating/RatingDetails?CompanyId=0&amp;CompanyName=KB Autotech India Private Limited", "Rationale")</f>
        <v/>
      </c>
    </row>
    <row r="1071">
      <c r="A1071" s="0" t="s">
        <v>2673</v>
      </c>
      <c r="B1071" s="0" t="s">
        <v>2674</v>
      </c>
      <c r="C1071" s="0" t="s">
        <v>1006</v>
      </c>
      <c r="D1071" s="0">
        <f dt2D="0" dtr="0">HYPERLINK("https://www.icra.in/Rating/RatingDetails?CompanyId=0&amp;CompanyName=KBJ Jewel Industry India Private Limited", "Rationale")</f>
        <v/>
      </c>
    </row>
    <row r="1072">
      <c r="A1072" s="0" t="s">
        <v>2675</v>
      </c>
      <c r="B1072" s="0" t="s">
        <v>2676</v>
      </c>
      <c r="C1072" s="0" t="s">
        <v>2677</v>
      </c>
      <c r="D1072" s="0">
        <f dt2D="0" dtr="0">HYPERLINK("https://www.icra.in/Rating/RatingDetails?CompanyId=0&amp;CompanyName=KBK Biotech Private Limited", "Rationale")</f>
        <v/>
      </c>
    </row>
    <row r="1073">
      <c r="A1073" s="0" t="s">
        <v>2678</v>
      </c>
      <c r="B1073" s="0" t="s">
        <v>2679</v>
      </c>
      <c r="C1073" s="0" t="s">
        <v>1564</v>
      </c>
      <c r="D1073" s="0">
        <f dt2D="0" dtr="0">HYPERLINK("https://www.icra.in/Rating/RatingDetails?CompanyId=0&amp;CompanyName=KBK Chem Engineering Private Limited", "Rationale")</f>
        <v/>
      </c>
    </row>
    <row r="1074">
      <c r="A1074" s="0" t="s">
        <v>2680</v>
      </c>
      <c r="B1074" s="0" t="s">
        <v>2681</v>
      </c>
      <c r="C1074" s="0" t="s">
        <v>2682</v>
      </c>
      <c r="D1074" s="0">
        <f dt2D="0" dtr="0">HYPERLINK("https://www.icra.in/Rating/RatingDetails?CompanyId=0&amp;CompanyName=Kbr Agro Industries", "Rationale")</f>
        <v/>
      </c>
    </row>
    <row r="1075">
      <c r="A1075" s="0" t="s">
        <v>2683</v>
      </c>
      <c r="B1075" s="0" t="s">
        <v>2684</v>
      </c>
      <c r="C1075" s="0" t="s">
        <v>2685</v>
      </c>
      <c r="D1075" s="0">
        <f dt2D="0" dtr="0">HYPERLINK("https://www.icra.in/Rating/RatingDetails?CompanyId=0&amp;CompanyName=Kcvr Infra Projects Private Limited", "Rationale")</f>
        <v/>
      </c>
    </row>
    <row r="1076">
      <c r="A1076" s="0" t="s">
        <v>2686</v>
      </c>
      <c r="B1076" s="0" t="s">
        <v>2687</v>
      </c>
      <c r="C1076" s="0" t="s">
        <v>256</v>
      </c>
      <c r="D1076" s="0">
        <f dt2D="0" dtr="0">HYPERLINK("https://www.icra.in/Rating/RatingDetails?CompanyId=0&amp;CompanyName=Kedar Metals Private Limited", "Rationale")</f>
        <v/>
      </c>
    </row>
    <row r="1077">
      <c r="A1077" s="0" t="s">
        <v>2688</v>
      </c>
      <c r="B1077" s="0" t="s">
        <v>2689</v>
      </c>
      <c r="C1077" s="0" t="s">
        <v>27</v>
      </c>
      <c r="D1077" s="0">
        <f dt2D="0" dtr="0">HYPERLINK("https://www.icra.in/Rating/RatingDetails?CompanyId=0&amp;CompanyName=Kepl Engineering Private Limited", "Rationale")</f>
        <v/>
      </c>
    </row>
    <row r="1078">
      <c r="A1078" s="0" t="s">
        <v>2690</v>
      </c>
      <c r="B1078" s="0" t="s">
        <v>2691</v>
      </c>
      <c r="C1078" s="0" t="s">
        <v>2692</v>
      </c>
      <c r="D1078" s="0">
        <f dt2D="0" dtr="0">HYPERLINK("https://www.icra.in/Rating/RatingDetails?CompanyId=0&amp;CompanyName=Keshav Holiday Resort Private Limited", "Rationale")</f>
        <v/>
      </c>
    </row>
    <row r="1079">
      <c r="A1079" s="0" t="s">
        <v>2693</v>
      </c>
      <c r="B1079" s="0" t="s">
        <v>2694</v>
      </c>
      <c r="C1079" s="0" t="s">
        <v>183</v>
      </c>
      <c r="D1079" s="0">
        <f dt2D="0" dtr="0">HYPERLINK("https://www.icra.in/Rating/RatingDetails?CompanyId=0&amp;CompanyName=KGS Sugar &amp; Infra Corporation Limited", "Rationale")</f>
        <v/>
      </c>
    </row>
    <row r="1080">
      <c r="A1080" s="0" t="s">
        <v>2695</v>
      </c>
      <c r="B1080" s="0" t="s">
        <v>2696</v>
      </c>
      <c r="C1080" s="0" t="s">
        <v>2210</v>
      </c>
      <c r="D1080" s="0">
        <f dt2D="0" dtr="0">HYPERLINK("https://www.icra.in/Rating/RatingDetails?CompanyId=0&amp;CompanyName=Khaitan Electronics", "Rationale")</f>
        <v/>
      </c>
    </row>
    <row r="1081">
      <c r="A1081" s="0" t="s">
        <v>2697</v>
      </c>
      <c r="B1081" s="0" t="s">
        <v>2698</v>
      </c>
      <c r="C1081" s="0" t="s">
        <v>71</v>
      </c>
      <c r="D1081" s="0">
        <f dt2D="0" dtr="0">HYPERLINK("https://www.icra.in/Rating/RatingDetails?CompanyId=0&amp;CompanyName=Khandesh Roller Flour Mills Private Limited", "Rationale")</f>
        <v/>
      </c>
    </row>
    <row r="1082">
      <c r="A1082" s="0" t="s">
        <v>2699</v>
      </c>
      <c r="B1082" s="0" t="s">
        <v>2700</v>
      </c>
      <c r="C1082" s="0" t="s">
        <v>2701</v>
      </c>
      <c r="D1082" s="0">
        <f dt2D="0" dtr="0">HYPERLINK("https://www.icra.in/Rating/RatingDetails?CompanyId=0&amp;CompanyName=Khanna Industrial Pipes Private Limited", "Rationale")</f>
        <v/>
      </c>
    </row>
    <row r="1083">
      <c r="A1083" s="0" t="s">
        <v>2702</v>
      </c>
      <c r="B1083" s="0" t="s">
        <v>2703</v>
      </c>
      <c r="C1083" s="0" t="s">
        <v>2704</v>
      </c>
      <c r="D1083" s="0">
        <f dt2D="0" dtr="0">HYPERLINK("https://www.icra.in/Rating/RatingDetails?CompanyId=0&amp;CompanyName=Khatushyam Processors (P) Limited", "Rationale")</f>
        <v/>
      </c>
    </row>
    <row r="1084">
      <c r="A1084" s="0" t="s">
        <v>2705</v>
      </c>
      <c r="B1084" s="0" t="s">
        <v>2706</v>
      </c>
      <c r="C1084" s="0" t="s">
        <v>71</v>
      </c>
      <c r="D1084" s="0">
        <f dt2D="0" dtr="0">HYPERLINK("https://www.icra.in/Rating/RatingDetails?CompanyId=0&amp;CompanyName=Khedut Cotex Pvt. Ltd.", "Rationale")</f>
        <v/>
      </c>
    </row>
    <row r="1085">
      <c r="A1085" s="0" t="s">
        <v>2707</v>
      </c>
      <c r="B1085" s="0" t="s">
        <v>2708</v>
      </c>
      <c r="C1085" s="0" t="s">
        <v>2709</v>
      </c>
      <c r="D1085" s="0">
        <f dt2D="0" dtr="0">HYPERLINK("https://www.icra.in/Rating/RatingDetails?CompanyId=0&amp;CompanyName=Khodal Cotton Processing Private Limited", "Rationale")</f>
        <v/>
      </c>
    </row>
    <row r="1086">
      <c r="A1086" s="0" t="s">
        <v>2710</v>
      </c>
      <c r="B1086" s="0" t="s">
        <v>2711</v>
      </c>
      <c r="C1086" s="0" t="s">
        <v>2712</v>
      </c>
      <c r="D1086" s="0">
        <f dt2D="0" dtr="0">HYPERLINK("https://www.icra.in/Rating/RatingDetails?CompanyId=0&amp;CompanyName=Khoday India Limited", "Rationale")</f>
        <v/>
      </c>
    </row>
    <row r="1087">
      <c r="A1087" s="0" t="s">
        <v>2713</v>
      </c>
      <c r="B1087" s="0" t="s">
        <v>2714</v>
      </c>
      <c r="C1087" s="0" t="s">
        <v>1917</v>
      </c>
      <c r="D1087" s="0">
        <f dt2D="0" dtr="0">HYPERLINK("https://www.icra.in/Rating/RatingDetails?CompanyId=0&amp;CompanyName=Khosla Agro Overseas", "Rationale")</f>
        <v/>
      </c>
    </row>
    <row r="1088">
      <c r="A1088" s="0" t="s">
        <v>2715</v>
      </c>
      <c r="B1088" s="0" t="s">
        <v>2716</v>
      </c>
      <c r="C1088" s="0" t="s">
        <v>2717</v>
      </c>
      <c r="D1088" s="0">
        <f dt2D="0" dtr="0">HYPERLINK("https://www.icra.in/Rating/RatingDetails?CompanyId=0&amp;CompanyName=Khosla Engineering Private Limited", "Rationale")</f>
        <v/>
      </c>
    </row>
    <row r="1089">
      <c r="A1089" s="0" t="s">
        <v>2718</v>
      </c>
      <c r="B1089" s="0" t="s">
        <v>2719</v>
      </c>
      <c r="C1089" s="0" t="s">
        <v>2720</v>
      </c>
      <c r="D1089" s="0">
        <f dt2D="0" dtr="0">HYPERLINK("https://www.icra.in/Rating/RatingDetails?CompanyId=0&amp;CompanyName=Khosla International", "Rationale")</f>
        <v/>
      </c>
    </row>
    <row r="1090">
      <c r="A1090" s="0" t="s">
        <v>2721</v>
      </c>
      <c r="B1090" s="0" t="s">
        <v>2722</v>
      </c>
      <c r="C1090" s="0" t="s">
        <v>71</v>
      </c>
      <c r="D1090" s="0">
        <f dt2D="0" dtr="0">HYPERLINK("https://www.icra.in/Rating/RatingDetails?CompanyId=0&amp;CompanyName=Khudiram Cold Storage Private Limited", "Rationale")</f>
        <v/>
      </c>
    </row>
    <row r="1091">
      <c r="A1091" s="0" t="s">
        <v>2723</v>
      </c>
      <c r="B1091" s="0" t="s">
        <v>2724</v>
      </c>
      <c r="C1091" s="0" t="s">
        <v>2725</v>
      </c>
      <c r="D1091" s="0">
        <f dt2D="0" dtr="0">HYPERLINK("https://www.icra.in/Rating/RatingDetails?CompanyId=0&amp;CompanyName=Kiara Jewellery Pvt. Ltd.", "Rationale")</f>
        <v/>
      </c>
    </row>
    <row r="1092">
      <c r="A1092" s="0" t="s">
        <v>2726</v>
      </c>
      <c r="B1092" s="0" t="s">
        <v>2727</v>
      </c>
      <c r="C1092" s="0" t="s">
        <v>941</v>
      </c>
      <c r="D1092" s="0">
        <f dt2D="0" dtr="0">HYPERLINK("https://www.icra.in/Rating/RatingDetails?CompanyId=0&amp;CompanyName=Kimiya Engineers Private Limited", "Rationale")</f>
        <v/>
      </c>
    </row>
    <row r="1093">
      <c r="A1093" s="0" t="s">
        <v>2728</v>
      </c>
      <c r="B1093" s="0" t="s">
        <v>2729</v>
      </c>
      <c r="C1093" s="0" t="s">
        <v>2530</v>
      </c>
      <c r="D1093" s="0">
        <f dt2D="0" dtr="0">HYPERLINK("https://www.icra.in/Rating/RatingDetails?CompanyId=0&amp;CompanyName=Kinetic Taigene Electrical Co. Pvt. Ltd.", "Rationale")</f>
        <v/>
      </c>
    </row>
    <row r="1094">
      <c r="A1094" s="0" t="s">
        <v>2730</v>
      </c>
      <c r="B1094" s="0" t="s">
        <v>2731</v>
      </c>
      <c r="C1094" s="0" t="s">
        <v>50</v>
      </c>
      <c r="D1094" s="0">
        <f dt2D="0" dtr="0">HYPERLINK("https://www.icra.in/Rating/RatingDetails?CompanyId=0&amp;CompanyName=Kiratpur Ner Chowk Expressway Limited", "Rationale")</f>
        <v/>
      </c>
    </row>
    <row r="1095">
      <c r="A1095" s="0" t="s">
        <v>2732</v>
      </c>
      <c r="B1095" s="0" t="s">
        <v>2733</v>
      </c>
      <c r="C1095" s="0" t="s">
        <v>50</v>
      </c>
      <c r="D1095" s="0">
        <f dt2D="0" dtr="0">HYPERLINK("https://www.icra.in/Rating/RatingDetails?CompanyId=0&amp;CompanyName=Kirtilal M. Shah", "Rationale")</f>
        <v/>
      </c>
    </row>
    <row r="1096">
      <c r="A1096" s="0" t="s">
        <v>2734</v>
      </c>
      <c r="B1096" s="0" t="s">
        <v>2735</v>
      </c>
      <c r="C1096" s="0" t="s">
        <v>6</v>
      </c>
      <c r="D1096" s="0">
        <f dt2D="0" dtr="0">HYPERLINK("https://www.icra.in/Rating/RatingDetails?CompanyId=0&amp;CompanyName=Kish Exports Limited", "Rationale")</f>
        <v/>
      </c>
    </row>
    <row r="1097">
      <c r="A1097" s="0" t="s">
        <v>2736</v>
      </c>
      <c r="B1097" s="0" t="s">
        <v>2737</v>
      </c>
      <c r="C1097" s="0" t="s">
        <v>71</v>
      </c>
      <c r="D1097" s="0">
        <f dt2D="0" dtr="0">HYPERLINK("https://www.icra.in/Rating/RatingDetails?CompanyId=0&amp;CompanyName=Kishan Gum Industries", "Rationale")</f>
        <v/>
      </c>
    </row>
    <row r="1098">
      <c r="A1098" s="0" t="s">
        <v>2738</v>
      </c>
      <c r="B1098" s="0" t="s">
        <v>2739</v>
      </c>
      <c r="C1098" s="0" t="s">
        <v>2740</v>
      </c>
      <c r="D1098" s="0">
        <f dt2D="0" dtr="0">HYPERLINK("https://www.icra.in/Rating/RatingDetails?CompanyId=0&amp;CompanyName=Kissan Poultry (India) Private Limited", "Rationale")</f>
        <v/>
      </c>
    </row>
    <row r="1099">
      <c r="A1099" s="0" t="s">
        <v>2741</v>
      </c>
      <c r="B1099" s="0" t="s">
        <v>2742</v>
      </c>
      <c r="C1099" s="0" t="s">
        <v>27</v>
      </c>
      <c r="D1099" s="0">
        <f dt2D="0" dtr="0">HYPERLINK("https://www.icra.in/Rating/RatingDetails?CompanyId=0&amp;CompanyName=Kitturu Chennamma Poultry Farm", "Rationale")</f>
        <v/>
      </c>
    </row>
    <row r="1100">
      <c r="A1100" s="0" t="s">
        <v>2743</v>
      </c>
      <c r="B1100" s="0" t="s">
        <v>2744</v>
      </c>
      <c r="C1100" s="0" t="s">
        <v>1151</v>
      </c>
      <c r="D1100" s="0">
        <f dt2D="0" dtr="0">HYPERLINK("https://www.icra.in/Rating/RatingDetails?CompanyId=0&amp;CompanyName=KLM Infra", "Rationale")</f>
        <v/>
      </c>
    </row>
    <row r="1101">
      <c r="A1101" s="0" t="s">
        <v>2745</v>
      </c>
      <c r="B1101" s="0" t="s">
        <v>2746</v>
      </c>
      <c r="C1101" s="0" t="s">
        <v>2747</v>
      </c>
      <c r="D1101" s="0">
        <f dt2D="0" dtr="0">HYPERLINK("https://www.icra.in/Rating/RatingDetails?CompanyId=0&amp;CompanyName=Klr Industries Ltd.", "Rationale")</f>
        <v/>
      </c>
    </row>
    <row r="1102">
      <c r="A1102" s="0" t="s">
        <v>2748</v>
      </c>
      <c r="B1102" s="0" t="s">
        <v>2749</v>
      </c>
      <c r="C1102" s="0" t="s">
        <v>2750</v>
      </c>
      <c r="D1102" s="0">
        <f dt2D="0" dtr="0">HYPERLINK("https://www.icra.in/Rating/RatingDetails?CompanyId=0&amp;CompanyName=Km Toll Road Private Limited", "Rationale")</f>
        <v/>
      </c>
    </row>
    <row r="1103">
      <c r="A1103" s="0" t="s">
        <v>2751</v>
      </c>
      <c r="B1103" s="0" t="s">
        <v>2752</v>
      </c>
      <c r="C1103" s="0" t="s">
        <v>2753</v>
      </c>
      <c r="D1103" s="0">
        <f dt2D="0" dtr="0">HYPERLINK("https://www.icra.in/Rating/RatingDetails?CompanyId=0&amp;CompanyName=KMC Constructions Limited", "Rationale")</f>
        <v/>
      </c>
    </row>
    <row r="1104">
      <c r="A1104" s="0" t="s">
        <v>2754</v>
      </c>
      <c r="B1104" s="0" t="s">
        <v>2755</v>
      </c>
      <c r="C1104" s="0" t="s">
        <v>439</v>
      </c>
      <c r="D1104" s="0">
        <f dt2D="0" dtr="0">HYPERLINK("https://www.icra.in/Rating/RatingDetails?CompanyId=0&amp;CompanyName=KMCT group of institutions", "Rationale")</f>
        <v/>
      </c>
    </row>
    <row r="1105">
      <c r="A1105" s="0" t="s">
        <v>2756</v>
      </c>
      <c r="B1105" s="0" t="s">
        <v>2757</v>
      </c>
      <c r="C1105" s="0" t="s">
        <v>2758</v>
      </c>
      <c r="D1105" s="0">
        <f dt2D="0" dtr="0">HYPERLINK("https://www.icra.in/Rating/RatingDetails?CompanyId=0&amp;CompanyName=KNK Nexgen Construction Pvt Ltd", "Rationale")</f>
        <v/>
      </c>
    </row>
    <row r="1106">
      <c r="A1106" s="0" t="s">
        <v>2759</v>
      </c>
      <c r="B1106" s="0" t="s">
        <v>2760</v>
      </c>
      <c r="C1106" s="0" t="s">
        <v>138</v>
      </c>
      <c r="D1106" s="0">
        <f dt2D="0" dtr="0">HYPERLINK("https://www.icra.in/Rating/RatingDetails?CompanyId=0&amp;CompanyName=Kobe Suspension Company Private Limited", "Rationale")</f>
        <v/>
      </c>
    </row>
    <row r="1107">
      <c r="A1107" s="0" t="s">
        <v>2761</v>
      </c>
      <c r="B1107" s="0" t="s">
        <v>2762</v>
      </c>
      <c r="C1107" s="0" t="s">
        <v>1651</v>
      </c>
      <c r="D1107" s="0">
        <f dt2D="0" dtr="0">HYPERLINK("https://www.icra.in/Rating/RatingDetails?CompanyId=0&amp;CompanyName=Kohinoor Carpets", "Rationale")</f>
        <v/>
      </c>
    </row>
    <row r="1108">
      <c r="A1108" s="0" t="s">
        <v>2763</v>
      </c>
      <c r="B1108" s="0" t="s">
        <v>2764</v>
      </c>
      <c r="C1108" s="0" t="s">
        <v>1014</v>
      </c>
      <c r="D1108" s="0">
        <f dt2D="0" dtr="0">HYPERLINK("https://www.icra.in/Rating/RatingDetails?CompanyId=0&amp;CompanyName=Kohinoor Education Trust", "Rationale")</f>
        <v/>
      </c>
    </row>
    <row r="1109">
      <c r="A1109" s="0" t="s">
        <v>2765</v>
      </c>
      <c r="B1109" s="0" t="s">
        <v>2766</v>
      </c>
      <c r="C1109" s="0" t="s">
        <v>2767</v>
      </c>
      <c r="D1109" s="0">
        <f dt2D="0" dtr="0">HYPERLINK("https://www.icra.in/Rating/RatingDetails?CompanyId=0&amp;CompanyName=Kohinoor Hospitals Private Limited", "Rationale")</f>
        <v/>
      </c>
    </row>
    <row r="1110">
      <c r="A1110" s="0" t="s">
        <v>2768</v>
      </c>
      <c r="B1110" s="0" t="s">
        <v>2769</v>
      </c>
      <c r="C1110" s="0" t="s">
        <v>2770</v>
      </c>
      <c r="D1110" s="0">
        <f dt2D="0" dtr="0">HYPERLINK("https://www.icra.in/Rating/RatingDetails?CompanyId=0&amp;CompanyName=Kohinoor Speciality Foods India Private Limited", "Rationale")</f>
        <v/>
      </c>
    </row>
    <row r="1111">
      <c r="A1111" s="0" t="s">
        <v>2771</v>
      </c>
      <c r="B1111" s="0" t="s">
        <v>2772</v>
      </c>
      <c r="C1111" s="0" t="s">
        <v>2685</v>
      </c>
      <c r="D1111" s="0">
        <f dt2D="0" dtr="0">HYPERLINK("https://www.icra.in/Rating/RatingDetails?CompanyId=0&amp;CompanyName=Kolhar Canes Ltd", "Rationale")</f>
        <v/>
      </c>
    </row>
    <row r="1112">
      <c r="A1112" s="0" t="s">
        <v>2773</v>
      </c>
      <c r="B1112" s="0" t="s">
        <v>2774</v>
      </c>
      <c r="C1112" s="0" t="s">
        <v>71</v>
      </c>
      <c r="D1112" s="0">
        <f dt2D="0" dtr="0">HYPERLINK("https://www.icra.in/Rating/RatingDetails?CompanyId=0&amp;CompanyName=Koneru Constructions Private Limited", "Rationale")</f>
        <v/>
      </c>
    </row>
    <row r="1113">
      <c r="A1113" s="0" t="s">
        <v>2775</v>
      </c>
      <c r="B1113" s="0" t="s">
        <v>2776</v>
      </c>
      <c r="C1113" s="0" t="s">
        <v>2777</v>
      </c>
      <c r="D1113" s="0">
        <f dt2D="0" dtr="0">HYPERLINK("https://www.icra.in/Rating/RatingDetails?CompanyId=0&amp;CompanyName=Korlam Kantakapalle Expressways Private Limited", "Rationale")</f>
        <v/>
      </c>
    </row>
    <row r="1114">
      <c r="A1114" s="0" t="s">
        <v>2778</v>
      </c>
      <c r="B1114" s="0" t="s">
        <v>2779</v>
      </c>
      <c r="C1114" s="0" t="s">
        <v>514</v>
      </c>
      <c r="D1114" s="0">
        <f dt2D="0" dtr="0">HYPERLINK("https://www.icra.in/Rating/RatingDetails?CompanyId=0&amp;CompanyName=Kotadiya Reality", "Rationale")</f>
        <v/>
      </c>
    </row>
    <row r="1115">
      <c r="A1115" s="0" t="s">
        <v>2780</v>
      </c>
      <c r="B1115" s="0" t="s">
        <v>2781</v>
      </c>
      <c r="C1115" s="0" t="s">
        <v>1917</v>
      </c>
      <c r="D1115" s="0">
        <f dt2D="0" dtr="0">HYPERLINK("https://www.icra.in/Rating/RatingDetails?CompanyId=0&amp;CompanyName=K-Pack Systems Private Limited", "Rationale")</f>
        <v/>
      </c>
    </row>
    <row r="1116">
      <c r="A1116" s="0" t="s">
        <v>2782</v>
      </c>
      <c r="B1116" s="0" t="s">
        <v>2783</v>
      </c>
      <c r="C1116" s="0" t="s">
        <v>2784</v>
      </c>
      <c r="D1116" s="0">
        <f dt2D="0" dtr="0">HYPERLINK("https://www.icra.in/Rating/RatingDetails?CompanyId=0&amp;CompanyName=Krano Minerals", "Rationale")</f>
        <v/>
      </c>
    </row>
    <row r="1117">
      <c r="A1117" s="0" t="s">
        <v>2785</v>
      </c>
      <c r="B1117" s="0" t="s">
        <v>2786</v>
      </c>
      <c r="C1117" s="0" t="s">
        <v>2787</v>
      </c>
      <c r="D1117" s="0">
        <f dt2D="0" dtr="0">HYPERLINK("https://www.icra.in/Rating/RatingDetails?CompanyId=0&amp;CompanyName=Kranthi Edifice Private Limited", "Rationale")</f>
        <v/>
      </c>
    </row>
    <row r="1118">
      <c r="A1118" s="0" t="s">
        <v>2788</v>
      </c>
      <c r="B1118" s="0" t="s">
        <v>2789</v>
      </c>
      <c r="C1118" s="0" t="s">
        <v>192</v>
      </c>
      <c r="D1118" s="0">
        <f dt2D="0" dtr="0">HYPERLINK("https://www.icra.in/Rating/RatingDetails?CompanyId=0&amp;CompanyName=Kranti Cotton and Oil Industries", "Rationale")</f>
        <v/>
      </c>
    </row>
    <row r="1119">
      <c r="A1119" s="0" t="s">
        <v>2790</v>
      </c>
      <c r="B1119" s="0" t="s">
        <v>2791</v>
      </c>
      <c r="C1119" s="0" t="s">
        <v>2792</v>
      </c>
      <c r="D1119" s="0">
        <f dt2D="0" dtr="0">HYPERLINK("https://www.icra.in/Rating/RatingDetails?CompanyId=0&amp;CompanyName=Kredence Multi Trading Limited", "Rationale")</f>
        <v/>
      </c>
    </row>
    <row r="1120">
      <c r="A1120" s="0" t="s">
        <v>2793</v>
      </c>
      <c r="B1120" s="0" t="s">
        <v>2794</v>
      </c>
      <c r="C1120" s="0" t="s">
        <v>2795</v>
      </c>
      <c r="D1120" s="0">
        <f dt2D="0" dtr="0">HYPERLINK("https://www.icra.in/Rating/RatingDetails?CompanyId=0&amp;CompanyName=Krish Agro Farms Pvt. Ltd.", "Rationale")</f>
        <v/>
      </c>
    </row>
    <row r="1121">
      <c r="A1121" s="0" t="s">
        <v>2796</v>
      </c>
      <c r="B1121" s="0" t="s">
        <v>2797</v>
      </c>
      <c r="C1121" s="0" t="s">
        <v>2798</v>
      </c>
      <c r="D1121" s="0">
        <f dt2D="0" dtr="0">HYPERLINK("https://www.icra.in/Rating/RatingDetails?CompanyId=0&amp;CompanyName=Krishna Construction Co.", "Rationale")</f>
        <v/>
      </c>
    </row>
    <row r="1122">
      <c r="A1122" s="0" t="s">
        <v>2799</v>
      </c>
      <c r="B1122" s="0" t="s">
        <v>2800</v>
      </c>
      <c r="C1122" s="0" t="s">
        <v>141</v>
      </c>
      <c r="D1122" s="0">
        <f dt2D="0" dtr="0">HYPERLINK("https://www.icra.in/Rating/RatingDetails?CompanyId=0&amp;CompanyName=Krishna Constructions", "Rationale")</f>
        <v/>
      </c>
    </row>
    <row r="1123">
      <c r="A1123" s="0" t="s">
        <v>2801</v>
      </c>
      <c r="B1123" s="0" t="s">
        <v>2802</v>
      </c>
      <c r="C1123" s="0" t="s">
        <v>343</v>
      </c>
      <c r="D1123" s="0">
        <f dt2D="0" dtr="0">HYPERLINK("https://www.icra.in/Rating/RatingDetails?CompanyId=0&amp;CompanyName=Krishna Cottex Industries", "Rationale")</f>
        <v/>
      </c>
    </row>
    <row r="1124">
      <c r="A1124" s="0" t="s">
        <v>2803</v>
      </c>
      <c r="B1124" s="0" t="s">
        <v>2804</v>
      </c>
      <c r="C1124" s="0" t="s">
        <v>278</v>
      </c>
      <c r="D1124" s="0">
        <f dt2D="0" dtr="0">HYPERLINK("https://www.icra.in/Rating/RatingDetails?CompanyId=0&amp;CompanyName=Krishna Cotton (Tankara)", "Rationale")</f>
        <v/>
      </c>
    </row>
    <row r="1125">
      <c r="A1125" s="0" t="s">
        <v>2805</v>
      </c>
      <c r="B1125" s="0" t="s">
        <v>2806</v>
      </c>
      <c r="C1125" s="0" t="s">
        <v>2807</v>
      </c>
      <c r="D1125" s="0">
        <f dt2D="0" dtr="0">HYPERLINK("https://www.icra.in/Rating/RatingDetails?CompanyId=0&amp;CompanyName=Krishna Gems", "Rationale")</f>
        <v/>
      </c>
    </row>
    <row r="1126">
      <c r="A1126" s="0" t="s">
        <v>2808</v>
      </c>
      <c r="B1126" s="0" t="s">
        <v>2809</v>
      </c>
      <c r="C1126" s="0" t="s">
        <v>388</v>
      </c>
      <c r="D1126" s="0">
        <f dt2D="0" dtr="0">HYPERLINK("https://www.icra.in/Rating/RatingDetails?CompanyId=0&amp;CompanyName=Krishna Natural Fibre Private Limited", "Rationale")</f>
        <v/>
      </c>
    </row>
    <row r="1127">
      <c r="A1127" s="0" t="s">
        <v>2810</v>
      </c>
      <c r="B1127" s="0" t="s">
        <v>2811</v>
      </c>
      <c r="C1127" s="0" t="s">
        <v>298</v>
      </c>
      <c r="D1127" s="0">
        <f dt2D="0" dtr="0">HYPERLINK("https://www.icra.in/Rating/RatingDetails?CompanyId=0&amp;CompanyName=Krishna Timber Company", "Rationale")</f>
        <v/>
      </c>
    </row>
    <row r="1128">
      <c r="A1128" s="0" t="s">
        <v>2812</v>
      </c>
      <c r="B1128" s="0" t="s">
        <v>2813</v>
      </c>
      <c r="C1128" s="0" t="s">
        <v>1350</v>
      </c>
      <c r="D1128" s="0">
        <f dt2D="0" dtr="0">HYPERLINK("https://www.icra.in/Rating/RatingDetails?CompanyId=0&amp;CompanyName=Krishna Transnational Marbles Private Limited", "Rationale")</f>
        <v/>
      </c>
    </row>
    <row r="1129">
      <c r="A1129" s="0" t="s">
        <v>2814</v>
      </c>
      <c r="B1129" s="0" t="s">
        <v>2815</v>
      </c>
      <c r="C1129" s="0" t="s">
        <v>2816</v>
      </c>
      <c r="D1129" s="0">
        <f dt2D="0" dtr="0">HYPERLINK("https://www.icra.in/Rating/RatingDetails?CompanyId=0&amp;CompanyName=Krishna Tuff Private Limited", "Rationale")</f>
        <v/>
      </c>
    </row>
    <row r="1130">
      <c r="A1130" s="0" t="s">
        <v>2817</v>
      </c>
      <c r="B1130" s="0" t="s">
        <v>2818</v>
      </c>
      <c r="C1130" s="0" t="s">
        <v>2819</v>
      </c>
      <c r="D1130" s="0">
        <f dt2D="0" dtr="0">HYPERLINK("https://www.icra.in/Rating/RatingDetails?CompanyId=0&amp;CompanyName=Krishnagiri District Co-Operative Milk Producers Union Limited", "Rationale")</f>
        <v/>
      </c>
    </row>
    <row r="1131">
      <c r="A1131" s="0" t="s">
        <v>2820</v>
      </c>
      <c r="B1131" s="0" t="s">
        <v>2821</v>
      </c>
      <c r="C1131" s="0" t="s">
        <v>2822</v>
      </c>
      <c r="D1131" s="0">
        <f dt2D="0" dtr="0">HYPERLINK("https://www.icra.in/Rating/RatingDetails?CompanyId=0&amp;CompanyName=Krishnaiah Motors Private Limited", "Rationale")</f>
        <v/>
      </c>
    </row>
    <row r="1132">
      <c r="A1132" s="0" t="s">
        <v>2823</v>
      </c>
      <c r="B1132" s="0" t="s">
        <v>2824</v>
      </c>
      <c r="C1132" s="0" t="s">
        <v>508</v>
      </c>
      <c r="D1132" s="0">
        <f dt2D="0" dtr="0">HYPERLINK("https://www.icra.in/Rating/RatingDetails?CompanyId=0&amp;CompanyName=Krishnaveni Seeds And Fertilizers", "Rationale")</f>
        <v/>
      </c>
    </row>
    <row r="1133">
      <c r="A1133" s="0" t="s">
        <v>2825</v>
      </c>
      <c r="B1133" s="0" t="s">
        <v>2826</v>
      </c>
      <c r="C1133" s="0" t="s">
        <v>18</v>
      </c>
      <c r="D1133" s="0">
        <f dt2D="0" dtr="0">HYPERLINK("https://www.icra.in/Rating/RatingDetails?CompanyId=0&amp;CompanyName=Krishnendu Bhakta", "Rationale")</f>
        <v/>
      </c>
    </row>
    <row r="1134">
      <c r="A1134" s="0" t="s">
        <v>2827</v>
      </c>
      <c r="B1134" s="0" t="s">
        <v>2828</v>
      </c>
      <c r="C1134" s="0" t="s">
        <v>2384</v>
      </c>
      <c r="D1134" s="0">
        <f dt2D="0" dtr="0">HYPERLINK("https://www.icra.in/Rating/RatingDetails?CompanyId=0&amp;CompanyName=Krn Alloys Private Limited", "Rationale")</f>
        <v/>
      </c>
    </row>
    <row r="1135">
      <c r="A1135" s="0" t="s">
        <v>2829</v>
      </c>
      <c r="B1135" s="0" t="s">
        <v>2830</v>
      </c>
      <c r="C1135" s="0" t="s">
        <v>180</v>
      </c>
      <c r="D1135" s="0">
        <f dt2D="0" dtr="0">HYPERLINK("https://www.icra.in/Rating/RatingDetails?CompanyId=0&amp;CompanyName=Krushna Industries", "Rationale")</f>
        <v/>
      </c>
    </row>
    <row r="1136">
      <c r="A1136" s="0" t="s">
        <v>2831</v>
      </c>
      <c r="B1136" s="0" t="s">
        <v>2832</v>
      </c>
      <c r="C1136" s="0" t="s">
        <v>405</v>
      </c>
      <c r="D1136" s="0">
        <f dt2D="0" dtr="0">HYPERLINK("https://www.icra.in/Rating/RatingDetails?CompanyId=0&amp;CompanyName=KS Softnet Solutions Private Limited", "Rationale")</f>
        <v/>
      </c>
    </row>
    <row r="1137">
      <c r="A1137" s="0" t="s">
        <v>2833</v>
      </c>
      <c r="B1137" s="0" t="s">
        <v>2834</v>
      </c>
      <c r="C1137" s="0" t="s">
        <v>2835</v>
      </c>
      <c r="D1137" s="0">
        <f dt2D="0" dtr="0">HYPERLINK("https://www.icra.in/Rating/RatingDetails?CompanyId=0&amp;CompanyName=KSC Educational Society", "Rationale")</f>
        <v/>
      </c>
    </row>
    <row r="1138">
      <c r="A1138" s="0" t="s">
        <v>2836</v>
      </c>
      <c r="B1138" s="0" t="s">
        <v>2837</v>
      </c>
      <c r="C1138" s="0" t="s">
        <v>2838</v>
      </c>
      <c r="D1138" s="0">
        <f dt2D="0" dtr="0">HYPERLINK("https://www.icra.in/Rating/RatingDetails?CompanyId=0&amp;CompanyName=KSDM Agro Industries Private Limited", "Rationale")</f>
        <v/>
      </c>
    </row>
    <row r="1139">
      <c r="A1139" s="0" t="s">
        <v>2839</v>
      </c>
      <c r="B1139" s="0" t="s">
        <v>2840</v>
      </c>
      <c r="C1139" s="0" t="s">
        <v>42</v>
      </c>
      <c r="D1139" s="0">
        <f dt2D="0" dtr="0">HYPERLINK("https://www.icra.in/Rating/RatingDetails?CompanyId=0&amp;CompanyName=Kshitij Kumar Choudhary", "Rationale")</f>
        <v/>
      </c>
    </row>
    <row r="1140">
      <c r="A1140" s="0" t="s">
        <v>2841</v>
      </c>
      <c r="B1140" s="0" t="s">
        <v>2842</v>
      </c>
      <c r="C1140" s="0" t="s">
        <v>74</v>
      </c>
      <c r="D1140" s="0">
        <f dt2D="0" dtr="0">HYPERLINK("https://www.icra.in/Rating/RatingDetails?CompanyId=0&amp;CompanyName=Kshitija Infrastructure Private Limited", "Rationale")</f>
        <v/>
      </c>
    </row>
    <row r="1141">
      <c r="A1141" s="0" t="s">
        <v>2843</v>
      </c>
      <c r="B1141" s="0" t="s">
        <v>2844</v>
      </c>
      <c r="C1141" s="0" t="s">
        <v>50</v>
      </c>
      <c r="D1141" s="0">
        <f dt2D="0" dtr="0">HYPERLINK("https://www.icra.in/Rating/RatingDetails?CompanyId=0&amp;CompanyName=KSK Mahanadi Power Company Limited", "Rationale")</f>
        <v/>
      </c>
    </row>
    <row r="1142">
      <c r="A1142" s="0" t="s">
        <v>2845</v>
      </c>
      <c r="B1142" s="0" t="s">
        <v>2846</v>
      </c>
      <c r="C1142" s="0" t="s">
        <v>1158</v>
      </c>
      <c r="D1142" s="0">
        <f dt2D="0" dtr="0">HYPERLINK("https://www.icra.in/Rating/RatingDetails?CompanyId=0&amp;CompanyName=Ksk Mineral Resources Private Limited", "Rationale")</f>
        <v/>
      </c>
    </row>
    <row r="1143">
      <c r="A1143" s="0" t="s">
        <v>2847</v>
      </c>
      <c r="B1143" s="0" t="s">
        <v>2848</v>
      </c>
      <c r="C1143" s="0" t="s">
        <v>9</v>
      </c>
      <c r="D1143" s="0">
        <f dt2D="0" dtr="0">HYPERLINK("https://www.icra.in/Rating/RatingDetails?CompanyId=0&amp;CompanyName=KSR Properties Private Limited", "Rationale")</f>
        <v/>
      </c>
    </row>
    <row r="1144">
      <c r="A1144" s="0" t="s">
        <v>2849</v>
      </c>
      <c r="B1144" s="0" t="s">
        <v>2850</v>
      </c>
      <c r="C1144" s="0" t="s">
        <v>50</v>
      </c>
      <c r="D1144" s="0">
        <f dt2D="0" dtr="0">HYPERLINK("https://www.icra.in/Rating/RatingDetails?CompanyId=0&amp;CompanyName=KTC Foods Private Limited", "Rationale")</f>
        <v/>
      </c>
    </row>
    <row r="1145">
      <c r="A1145" s="0" t="s">
        <v>2851</v>
      </c>
      <c r="B1145" s="0" t="s">
        <v>2852</v>
      </c>
      <c r="C1145" s="0" t="s">
        <v>2853</v>
      </c>
      <c r="D1145" s="0">
        <f dt2D="0" dtr="0">HYPERLINK("https://www.icra.in/Rating/RatingDetails?CompanyId=0&amp;CompanyName=Kuldevi Cotton Industries", "Rationale")</f>
        <v/>
      </c>
    </row>
    <row r="1146">
      <c r="A1146" s="0" t="s">
        <v>2854</v>
      </c>
      <c r="B1146" s="0" t="s">
        <v>2855</v>
      </c>
      <c r="C1146" s="0" t="s">
        <v>71</v>
      </c>
      <c r="D1146" s="0">
        <f dt2D="0" dtr="0">HYPERLINK("https://www.icra.in/Rating/RatingDetails?CompanyId=0&amp;CompanyName=Kulkarni &amp; Sahu Buildcon Private Limited", "Rationale")</f>
        <v/>
      </c>
    </row>
    <row r="1147">
      <c r="A1147" s="0" t="s">
        <v>2856</v>
      </c>
      <c r="B1147" s="0" t="s">
        <v>2857</v>
      </c>
      <c r="C1147" s="0" t="s">
        <v>2858</v>
      </c>
      <c r="D1147" s="0">
        <f dt2D="0" dtr="0">HYPERLINK("https://www.icra.in/Rating/RatingDetails?CompanyId=0&amp;CompanyName=Kurlon Enterprise Limited", "Rationale")</f>
        <v/>
      </c>
    </row>
    <row r="1148">
      <c r="A1148" s="0" t="s">
        <v>2859</v>
      </c>
      <c r="B1148" s="0" t="s">
        <v>2860</v>
      </c>
      <c r="C1148" s="0" t="s">
        <v>1519</v>
      </c>
      <c r="D1148" s="0">
        <f dt2D="0" dtr="0">HYPERLINK("https://www.icra.in/Rating/RatingDetails?CompanyId=0&amp;CompanyName=KVK Granites", "Rationale")</f>
        <v/>
      </c>
    </row>
    <row r="1149">
      <c r="A1149" s="0" t="s">
        <v>2861</v>
      </c>
      <c r="B1149" s="0" t="s">
        <v>2862</v>
      </c>
      <c r="C1149" s="0" t="s">
        <v>882</v>
      </c>
      <c r="D1149" s="0">
        <f dt2D="0" dtr="0">HYPERLINK("https://www.icra.in/Rating/RatingDetails?CompanyId=0&amp;CompanyName=KVR Projects Private Limited", "Rationale")</f>
        <v/>
      </c>
    </row>
    <row r="1150">
      <c r="A1150" s="0" t="s">
        <v>2863</v>
      </c>
      <c r="B1150" s="0" t="s">
        <v>2864</v>
      </c>
      <c r="C1150" s="0" t="s">
        <v>2088</v>
      </c>
      <c r="D1150" s="0">
        <f dt2D="0" dtr="0">HYPERLINK("https://www.icra.in/Rating/RatingDetails?CompanyId=0&amp;CompanyName=Kwal Pro Exports", "Rationale")</f>
        <v/>
      </c>
    </row>
    <row r="1151">
      <c r="A1151" s="0" t="s">
        <v>2865</v>
      </c>
      <c r="B1151" s="0" t="s">
        <v>2866</v>
      </c>
      <c r="C1151" s="0" t="s">
        <v>1006</v>
      </c>
      <c r="D1151" s="0">
        <f dt2D="0" dtr="0">HYPERLINK("https://www.icra.in/Rating/RatingDetails?CompanyId=0&amp;CompanyName=Kwality Foundry Industries", "Rationale")</f>
        <v/>
      </c>
    </row>
    <row r="1152">
      <c r="A1152" s="0" t="s">
        <v>2867</v>
      </c>
      <c r="B1152" s="0" t="s">
        <v>2868</v>
      </c>
      <c r="C1152" s="0" t="s">
        <v>2869</v>
      </c>
      <c r="D1152" s="0">
        <f dt2D="0" dtr="0">HYPERLINK("https://www.icra.in/Rating/RatingDetails?CompanyId=0&amp;CompanyName=Kwality Pharmaceuticals Ltd.", "Rationale")</f>
        <v/>
      </c>
    </row>
    <row r="1153">
      <c r="A1153" s="0" t="s">
        <v>2870</v>
      </c>
      <c r="B1153" s="0" t="s">
        <v>2871</v>
      </c>
      <c r="C1153" s="0" t="s">
        <v>2346</v>
      </c>
      <c r="D1153" s="0">
        <f dt2D="0" dtr="0">HYPERLINK("https://www.icra.in/Rating/RatingDetails?CompanyId=0&amp;CompanyName=Kwality Township Pvt. Ltd.", "Rationale")</f>
        <v/>
      </c>
    </row>
    <row r="1154">
      <c r="A1154" s="0" t="s">
        <v>2872</v>
      </c>
      <c r="B1154" s="0" t="s">
        <v>2873</v>
      </c>
      <c r="C1154" s="0" t="s">
        <v>2510</v>
      </c>
      <c r="D1154" s="0">
        <f dt2D="0" dtr="0">HYPERLINK("https://www.icra.in/Rating/RatingDetails?CompanyId=0&amp;CompanyName=L&amp;T Chennai Tada Tollway Limited", "Rationale")</f>
        <v/>
      </c>
    </row>
    <row r="1155">
      <c r="A1155" s="0" t="s">
        <v>2874</v>
      </c>
      <c r="B1155" s="0" t="s">
        <v>2875</v>
      </c>
      <c r="C1155" s="0" t="s">
        <v>6</v>
      </c>
      <c r="D1155" s="0">
        <f dt2D="0" dtr="0">HYPERLINK("https://www.icra.in/Rating/RatingDetails?CompanyId=0&amp;CompanyName=L.A. Hotels &amp; Retreats Private Limited", "Rationale")</f>
        <v/>
      </c>
    </row>
    <row r="1156">
      <c r="A1156" s="0" t="s">
        <v>2876</v>
      </c>
      <c r="B1156" s="0" t="s">
        <v>2877</v>
      </c>
      <c r="C1156" s="0" t="s">
        <v>1350</v>
      </c>
      <c r="D1156" s="0">
        <f dt2D="0" dtr="0">HYPERLINK("https://www.icra.in/Rating/RatingDetails?CompanyId=0&amp;CompanyName=L.C. Foods Limited", "Rationale")</f>
        <v/>
      </c>
    </row>
    <row r="1157">
      <c r="A1157" s="0" t="s">
        <v>2878</v>
      </c>
      <c r="B1157" s="0" t="s">
        <v>2879</v>
      </c>
      <c r="C1157" s="0" t="s">
        <v>1006</v>
      </c>
      <c r="D1157" s="0">
        <f dt2D="0" dtr="0">HYPERLINK("https://www.icra.in/Rating/RatingDetails?CompanyId=0&amp;CompanyName=L.M. Foods", "Rationale")</f>
        <v/>
      </c>
    </row>
    <row r="1158">
      <c r="A1158" s="0" t="s">
        <v>2880</v>
      </c>
      <c r="B1158" s="0" t="s">
        <v>2881</v>
      </c>
      <c r="C1158" s="0" t="s">
        <v>2065</v>
      </c>
      <c r="D1158" s="0">
        <f dt2D="0" dtr="0">HYPERLINK("https://www.icra.in/Rating/RatingDetails?CompanyId=0&amp;CompanyName=L.N. Malviya Infra Projects Pvt. Ltd.", "Rationale")</f>
        <v/>
      </c>
    </row>
    <row r="1159">
      <c r="A1159" s="0" t="s">
        <v>2882</v>
      </c>
      <c r="B1159" s="0" t="s">
        <v>2883</v>
      </c>
      <c r="C1159" s="0" t="s">
        <v>2884</v>
      </c>
      <c r="D1159" s="0">
        <f dt2D="0" dtr="0">HYPERLINK("https://www.icra.in/Rating/RatingDetails?CompanyId=0&amp;CompanyName=Laborate Pharmaceuticals India Limited", "Rationale")</f>
        <v/>
      </c>
    </row>
    <row r="1160">
      <c r="A1160" s="0" t="s">
        <v>2885</v>
      </c>
      <c r="B1160" s="0" t="s">
        <v>2886</v>
      </c>
      <c r="C1160" s="0" t="s">
        <v>2887</v>
      </c>
      <c r="D1160" s="0">
        <f dt2D="0" dtr="0">HYPERLINK("https://www.icra.in/Rating/RatingDetails?CompanyId=0&amp;CompanyName=Laguna Clothing Private Limited", "Rationale")</f>
        <v/>
      </c>
    </row>
    <row r="1161">
      <c r="A1161" s="0" t="s">
        <v>2888</v>
      </c>
      <c r="B1161" s="0" t="s">
        <v>2889</v>
      </c>
      <c r="C1161" s="0" t="s">
        <v>2890</v>
      </c>
      <c r="D1161" s="0">
        <f dt2D="0" dtr="0">HYPERLINK("https://www.icra.in/Rating/RatingDetails?CompanyId=0&amp;CompanyName=Laila Hotels and Resorts Pvt. Ltd.", "Rationale")</f>
        <v/>
      </c>
    </row>
    <row r="1162">
      <c r="A1162" s="0" t="s">
        <v>2891</v>
      </c>
      <c r="B1162" s="0" t="s">
        <v>2892</v>
      </c>
      <c r="C1162" s="0" t="s">
        <v>2893</v>
      </c>
      <c r="D1162" s="0">
        <f dt2D="0" dtr="0">HYPERLINK("https://www.icra.in/Rating/RatingDetails?CompanyId=0&amp;CompanyName=Lakhotia Transport Co. Pvt. Ltd.", "Rationale")</f>
        <v/>
      </c>
    </row>
    <row r="1163">
      <c r="A1163" s="0" t="s">
        <v>2894</v>
      </c>
      <c r="B1163" s="0" t="s">
        <v>2895</v>
      </c>
      <c r="C1163" s="0" t="s">
        <v>858</v>
      </c>
      <c r="D1163" s="0">
        <f dt2D="0" dtr="0">HYPERLINK("https://www.icra.in/Rating/RatingDetails?CompanyId=0&amp;CompanyName=Lakshmanan Isola Pvt Ltd", "Rationale")</f>
        <v/>
      </c>
    </row>
    <row r="1164">
      <c r="A1164" s="0" t="s">
        <v>2896</v>
      </c>
      <c r="B1164" s="0" t="s">
        <v>2897</v>
      </c>
      <c r="C1164" s="0" t="s">
        <v>1917</v>
      </c>
      <c r="D1164" s="0">
        <f dt2D="0" dtr="0">HYPERLINK("https://www.icra.in/Rating/RatingDetails?CompanyId=0&amp;CompanyName=Lakshmi Balaji Oils Private Limited", "Rationale")</f>
        <v/>
      </c>
    </row>
    <row r="1165">
      <c r="A1165" s="0" t="s">
        <v>2898</v>
      </c>
      <c r="B1165" s="0" t="s">
        <v>2899</v>
      </c>
      <c r="C1165" s="0" t="s">
        <v>1412</v>
      </c>
      <c r="D1165" s="0">
        <f dt2D="0" dtr="0">HYPERLINK("https://www.icra.in/Rating/RatingDetails?CompanyId=0&amp;CompanyName=Lakshmi Ganapathi Rice Mill", "Rationale")</f>
        <v/>
      </c>
    </row>
    <row r="1166">
      <c r="A1166" s="0" t="s">
        <v>2900</v>
      </c>
      <c r="B1166" s="0" t="s">
        <v>2901</v>
      </c>
      <c r="C1166" s="0" t="s">
        <v>873</v>
      </c>
      <c r="D1166" s="0">
        <f dt2D="0" dtr="0">HYPERLINK("https://www.icra.in/Rating/RatingDetails?CompanyId=0&amp;CompanyName=Lakshmidurga Textiles Private Limited", "Rationale")</f>
        <v/>
      </c>
    </row>
    <row r="1167">
      <c r="A1167" s="0" t="s">
        <v>2902</v>
      </c>
      <c r="B1167" s="0" t="s">
        <v>2903</v>
      </c>
      <c r="C1167" s="0" t="s">
        <v>2904</v>
      </c>
      <c r="D1167" s="0">
        <f dt2D="0" dtr="0">HYPERLINK("https://www.icra.in/Rating/RatingDetails?CompanyId=0&amp;CompanyName=Lakshminarasimha Warehousing", "Rationale")</f>
        <v/>
      </c>
    </row>
    <row r="1168">
      <c r="A1168" s="0" t="s">
        <v>2905</v>
      </c>
      <c r="B1168" s="0" t="s">
        <v>2906</v>
      </c>
      <c r="C1168" s="0" t="s">
        <v>958</v>
      </c>
      <c r="D1168" s="0">
        <f dt2D="0" dtr="0">HYPERLINK("https://www.icra.in/Rating/RatingDetails?CompanyId=0&amp;CompanyName=Lakshya Dairy Private Limited", "Rationale")</f>
        <v/>
      </c>
    </row>
    <row r="1169">
      <c r="A1169" s="0" t="s">
        <v>2907</v>
      </c>
      <c r="B1169" s="0" t="s">
        <v>2908</v>
      </c>
      <c r="C1169" s="0" t="s">
        <v>1970</v>
      </c>
      <c r="D1169" s="0">
        <f dt2D="0" dtr="0">HYPERLINK("https://www.icra.in/Rating/RatingDetails?CompanyId=0&amp;CompanyName=Lalita Foamex Private Limited", "Rationale")</f>
        <v/>
      </c>
    </row>
    <row r="1170">
      <c r="A1170" s="0" t="s">
        <v>2909</v>
      </c>
      <c r="B1170" s="0" t="s">
        <v>2910</v>
      </c>
      <c r="C1170" s="0" t="s">
        <v>1839</v>
      </c>
      <c r="D1170" s="0">
        <f dt2D="0" dtr="0">HYPERLINK("https://www.icra.in/Rating/RatingDetails?CompanyId=0&amp;CompanyName=Lampex Electronics Limited", "Rationale")</f>
        <v/>
      </c>
    </row>
    <row r="1171">
      <c r="A1171" s="0" t="s">
        <v>2911</v>
      </c>
      <c r="B1171" s="0" t="s">
        <v>2912</v>
      </c>
      <c r="C1171" s="0" t="s">
        <v>2913</v>
      </c>
      <c r="D1171" s="0">
        <f dt2D="0" dtr="0">HYPERLINK("https://www.icra.in/Rating/RatingDetails?CompanyId=0&amp;CompanyName=Lanarsy Infra Limited", "Rationale")</f>
        <v/>
      </c>
    </row>
    <row r="1172">
      <c r="A1172" s="0" t="s">
        <v>2914</v>
      </c>
      <c r="B1172" s="0" t="s">
        <v>2915</v>
      </c>
      <c r="C1172" s="0" t="s">
        <v>2916</v>
      </c>
      <c r="D1172" s="0">
        <f dt2D="0" dtr="0">HYPERLINK("https://www.icra.in/Rating/RatingDetails?CompanyId=0&amp;CompanyName=Lanco Solar Energy Private Limited", "Rationale")</f>
        <v/>
      </c>
    </row>
    <row r="1173">
      <c r="A1173" s="0" t="s">
        <v>2917</v>
      </c>
      <c r="B1173" s="0" t="s">
        <v>2918</v>
      </c>
      <c r="C1173" s="0" t="s">
        <v>2916</v>
      </c>
      <c r="D1173" s="0">
        <f dt2D="0" dtr="0">HYPERLINK("https://www.icra.in/Rating/RatingDetails?CompanyId=0&amp;CompanyName=Lanco Solar Private Limited", "Rationale")</f>
        <v/>
      </c>
    </row>
    <row r="1174">
      <c r="A1174" s="0" t="s">
        <v>2919</v>
      </c>
      <c r="B1174" s="0" t="s">
        <v>2920</v>
      </c>
      <c r="C1174" s="0" t="s">
        <v>2921</v>
      </c>
      <c r="D1174" s="0">
        <f dt2D="0" dtr="0">HYPERLINK("https://www.icra.in/Rating/RatingDetails?CompanyId=0&amp;CompanyName=Landis+Gyr Limited", "Rationale")</f>
        <v/>
      </c>
    </row>
    <row r="1175">
      <c r="A1175" s="0" t="s">
        <v>2922</v>
      </c>
      <c r="B1175" s="0" t="s">
        <v>2923</v>
      </c>
      <c r="C1175" s="0" t="s">
        <v>324</v>
      </c>
      <c r="D1175" s="0">
        <f dt2D="0" dtr="0">HYPERLINK("https://www.icra.in/Rating/RatingDetails?CompanyId=0&amp;CompanyName=Landmark Veneers Private Limited", "Rationale")</f>
        <v/>
      </c>
    </row>
    <row r="1176">
      <c r="A1176" s="0" t="s">
        <v>2924</v>
      </c>
      <c r="B1176" s="0" t="s">
        <v>2925</v>
      </c>
      <c r="C1176" s="0" t="s">
        <v>1432</v>
      </c>
      <c r="D1176" s="0">
        <f dt2D="0" dtr="0">HYPERLINK("https://www.icra.in/Rating/RatingDetails?CompanyId=0&amp;CompanyName=Lantech Pharmaceuticals Limited", "Rationale")</f>
        <v/>
      </c>
    </row>
    <row r="1177">
      <c r="A1177" s="0" t="s">
        <v>2926</v>
      </c>
      <c r="B1177" s="0" t="s">
        <v>2927</v>
      </c>
      <c r="C1177" s="0" t="s">
        <v>81</v>
      </c>
      <c r="D1177" s="0">
        <f dt2D="0" dtr="0">HYPERLINK("https://www.icra.in/Rating/RatingDetails?CompanyId=0&amp;CompanyName=Lariya Art Palace Private Limited", "Rationale")</f>
        <v/>
      </c>
    </row>
    <row r="1178">
      <c r="A1178" s="0" t="s">
        <v>2928</v>
      </c>
      <c r="B1178" s="0" t="s">
        <v>2929</v>
      </c>
      <c r="C1178" s="0" t="s">
        <v>2930</v>
      </c>
      <c r="D1178" s="0">
        <f dt2D="0" dtr="0">HYPERLINK("https://www.icra.in/Rating/RatingDetails?CompanyId=0&amp;CompanyName=Lasco Lifestlye Limited", "Rationale")</f>
        <v/>
      </c>
    </row>
    <row r="1179">
      <c r="A1179" s="0" t="s">
        <v>2931</v>
      </c>
      <c r="B1179" s="0" t="s">
        <v>2932</v>
      </c>
      <c r="C1179" s="0" t="s">
        <v>436</v>
      </c>
      <c r="D1179" s="0">
        <f dt2D="0" dtr="0">HYPERLINK("https://www.icra.in/Rating/RatingDetails?CompanyId=0&amp;CompanyName=Laser Fibers Private Limited", "Rationale")</f>
        <v/>
      </c>
    </row>
    <row r="1180">
      <c r="A1180" s="0" t="s">
        <v>2933</v>
      </c>
      <c r="B1180" s="0" t="s">
        <v>2934</v>
      </c>
      <c r="C1180" s="0" t="s">
        <v>2935</v>
      </c>
      <c r="D1180" s="0">
        <f dt2D="0" dtr="0">HYPERLINK("https://www.icra.in/Rating/RatingDetails?CompanyId=0&amp;CompanyName=Late Shri Vishnu Waman Thakur Charitable Trust", "Rationale")</f>
        <v/>
      </c>
    </row>
    <row r="1181">
      <c r="A1181" s="0" t="s">
        <v>2936</v>
      </c>
      <c r="B1181" s="0" t="s">
        <v>2937</v>
      </c>
      <c r="C1181" s="0" t="s">
        <v>197</v>
      </c>
      <c r="D1181" s="0">
        <f dt2D="0" dtr="0">HYPERLINK("https://www.icra.in/Rating/RatingDetails?CompanyId=0&amp;CompanyName=Lavis Signature Panel Private Limited", "Rationale")</f>
        <v/>
      </c>
    </row>
    <row r="1182">
      <c r="A1182" s="0" t="s">
        <v>2938</v>
      </c>
      <c r="B1182" s="0" t="s">
        <v>2939</v>
      </c>
      <c r="C1182" s="0" t="s">
        <v>758</v>
      </c>
      <c r="D1182" s="0">
        <f dt2D="0" dtr="0">HYPERLINK("https://www.icra.in/Rating/RatingDetails?CompanyId=0&amp;CompanyName=Laxmi Balaji Industries", "Rationale")</f>
        <v/>
      </c>
    </row>
    <row r="1183">
      <c r="A1183" s="0" t="s">
        <v>2940</v>
      </c>
      <c r="B1183" s="0" t="s">
        <v>2941</v>
      </c>
      <c r="C1183" s="0" t="s">
        <v>1111</v>
      </c>
      <c r="D1183" s="0">
        <f dt2D="0" dtr="0">HYPERLINK("https://www.icra.in/Rating/RatingDetails?CompanyId=0&amp;CompanyName=Laxmi Memorial Education Trust", "Rationale")</f>
        <v/>
      </c>
    </row>
    <row r="1184">
      <c r="A1184" s="0" t="s">
        <v>2942</v>
      </c>
      <c r="B1184" s="0" t="s">
        <v>2943</v>
      </c>
      <c r="C1184" s="0" t="s">
        <v>6</v>
      </c>
      <c r="D1184" s="0">
        <f dt2D="0" dtr="0">HYPERLINK("https://www.icra.in/Rating/RatingDetails?CompanyId=0&amp;CompanyName=Laxmi Oil &amp; Vanaspati Private Limited", "Rationale")</f>
        <v/>
      </c>
    </row>
    <row r="1185">
      <c r="A1185" s="0" t="s">
        <v>2944</v>
      </c>
      <c r="B1185" s="0" t="s">
        <v>2945</v>
      </c>
      <c r="C1185" s="0" t="s">
        <v>1522</v>
      </c>
      <c r="D1185" s="0">
        <f dt2D="0" dtr="0">HYPERLINK("https://www.icra.in/Rating/RatingDetails?CompanyId=0&amp;CompanyName=Laxmi Rice Mills", "Rationale")</f>
        <v/>
      </c>
    </row>
    <row r="1186">
      <c r="A1186" s="0" t="s">
        <v>2946</v>
      </c>
      <c r="B1186" s="0" t="s">
        <v>2947</v>
      </c>
      <c r="C1186" s="0" t="s">
        <v>71</v>
      </c>
      <c r="D1186" s="0">
        <f dt2D="0" dtr="0">HYPERLINK("https://www.icra.in/Rating/RatingDetails?CompanyId=0&amp;CompanyName=Laxmi Siddharth Transmissions LLP (Formerly known as Laxmi Transmissions)", "Rationale")</f>
        <v/>
      </c>
    </row>
    <row r="1187">
      <c r="A1187" s="0" t="s">
        <v>2948</v>
      </c>
      <c r="B1187" s="0" t="s">
        <v>2949</v>
      </c>
      <c r="C1187" s="0" t="s">
        <v>2327</v>
      </c>
      <c r="D1187" s="0">
        <f dt2D="0" dtr="0">HYPERLINK("https://www.icra.in/Rating/RatingDetails?CompanyId=0&amp;CompanyName=Laxminarayan Industries", "Rationale")</f>
        <v/>
      </c>
    </row>
    <row r="1188">
      <c r="A1188" s="0" t="s">
        <v>2950</v>
      </c>
      <c r="B1188" s="0" t="s">
        <v>2951</v>
      </c>
      <c r="C1188" s="0" t="s">
        <v>2448</v>
      </c>
      <c r="D1188" s="0">
        <f dt2D="0" dtr="0">HYPERLINK("https://www.icra.in/Rating/RatingDetails?CompanyId=0&amp;CompanyName=LB Cotton Industries LLP", "Rationale")</f>
        <v/>
      </c>
    </row>
    <row r="1189">
      <c r="A1189" s="0" t="s">
        <v>2952</v>
      </c>
      <c r="B1189" s="0" t="s">
        <v>2953</v>
      </c>
      <c r="C1189" s="0" t="s">
        <v>1522</v>
      </c>
      <c r="D1189" s="0">
        <f dt2D="0" dtr="0">HYPERLINK("https://www.icra.in/Rating/RatingDetails?CompanyId=0&amp;CompanyName=LE Marble Gallery Private Limited", "Rationale")</f>
        <v/>
      </c>
    </row>
    <row r="1190">
      <c r="A1190" s="0" t="s">
        <v>2954</v>
      </c>
      <c r="B1190" s="0" t="s">
        <v>2955</v>
      </c>
      <c r="C1190" s="0" t="s">
        <v>50</v>
      </c>
      <c r="D1190" s="0">
        <f dt2D="0" dtr="0">HYPERLINK("https://www.icra.in/Rating/RatingDetails?CompanyId=0&amp;CompanyName=Legend Ceramic Private Limited", "Rationale")</f>
        <v/>
      </c>
    </row>
    <row r="1191">
      <c r="A1191" s="0" t="s">
        <v>2956</v>
      </c>
      <c r="B1191" s="0" t="s">
        <v>2957</v>
      </c>
      <c r="C1191" s="0" t="s">
        <v>2958</v>
      </c>
      <c r="D1191" s="0">
        <f dt2D="0" dtr="0">HYPERLINK("https://www.icra.in/Rating/RatingDetails?CompanyId=0&amp;CompanyName=Leisure Wear Exports Ltd.", "Rationale")</f>
        <v/>
      </c>
    </row>
    <row r="1192">
      <c r="A1192" s="0" t="s">
        <v>2959</v>
      </c>
      <c r="B1192" s="0" t="s">
        <v>2960</v>
      </c>
      <c r="C1192" s="0" t="s">
        <v>2961</v>
      </c>
      <c r="D1192" s="0">
        <f dt2D="0" dtr="0">HYPERLINK("https://www.icra.in/Rating/RatingDetails?CompanyId=0&amp;CompanyName=Lemosa Tiles Llp", "Rationale")</f>
        <v/>
      </c>
    </row>
    <row r="1193">
      <c r="A1193" s="0" t="s">
        <v>2962</v>
      </c>
      <c r="B1193" s="0" t="s">
        <v>2963</v>
      </c>
      <c r="C1193" s="0" t="s">
        <v>1231</v>
      </c>
      <c r="D1193" s="0">
        <f dt2D="0" dtr="0">HYPERLINK("https://www.icra.in/Rating/RatingDetails?CompanyId=0&amp;CompanyName=Lenora Vitrified LLP", "Rationale")</f>
        <v/>
      </c>
    </row>
    <row r="1194">
      <c r="A1194" s="0" t="s">
        <v>2964</v>
      </c>
      <c r="B1194" s="0" t="s">
        <v>2965</v>
      </c>
      <c r="C1194" s="0" t="s">
        <v>71</v>
      </c>
      <c r="D1194" s="0">
        <f dt2D="0" dtr="0">HYPERLINK("https://www.icra.in/Rating/RatingDetails?CompanyId=0&amp;CompanyName=Lenz Ceramic Pvt. Ltd.", "Rationale")</f>
        <v/>
      </c>
    </row>
    <row r="1195">
      <c r="A1195" s="0" t="s">
        <v>2966</v>
      </c>
      <c r="B1195" s="0" t="s">
        <v>2967</v>
      </c>
      <c r="C1195" s="0" t="s">
        <v>71</v>
      </c>
      <c r="D1195" s="0">
        <f dt2D="0" dtr="0">HYPERLINK("https://www.icra.in/Rating/RatingDetails?CompanyId=0&amp;CompanyName=Leonard Exports", "Rationale")</f>
        <v/>
      </c>
    </row>
    <row r="1196">
      <c r="A1196" s="0" t="s">
        <v>2968</v>
      </c>
      <c r="B1196" s="0" t="s">
        <v>2969</v>
      </c>
      <c r="C1196" s="0" t="s">
        <v>2970</v>
      </c>
      <c r="D1196" s="0">
        <f dt2D="0" dtr="0">HYPERLINK("https://www.icra.in/Rating/RatingDetails?CompanyId=0&amp;CompanyName=Lexus Granito (India) Limited", "Rationale")</f>
        <v/>
      </c>
    </row>
    <row r="1197">
      <c r="A1197" s="0" t="s">
        <v>2971</v>
      </c>
      <c r="B1197" s="0" t="s">
        <v>2972</v>
      </c>
      <c r="C1197" s="0" t="s">
        <v>439</v>
      </c>
      <c r="D1197" s="0">
        <f dt2D="0" dtr="0">HYPERLINK("https://www.icra.in/Rating/RatingDetails?CompanyId=0&amp;CompanyName=Lila Dhar Devki Nandan", "Rationale")</f>
        <v/>
      </c>
    </row>
    <row r="1198">
      <c r="A1198" s="0" t="s">
        <v>2973</v>
      </c>
      <c r="B1198" s="0" t="s">
        <v>2974</v>
      </c>
      <c r="C1198" s="0" t="s">
        <v>486</v>
      </c>
      <c r="D1198" s="0">
        <f dt2D="0" dtr="0">HYPERLINK("https://www.icra.in/Rating/RatingDetails?CompanyId=0&amp;CompanyName=Limbuguri Tea Estate Pvt. Ltd.", "Rationale")</f>
        <v/>
      </c>
    </row>
    <row r="1199">
      <c r="A1199" s="0" t="s">
        <v>2975</v>
      </c>
      <c r="B1199" s="0" t="s">
        <v>2976</v>
      </c>
      <c r="C1199" s="0" t="s">
        <v>915</v>
      </c>
      <c r="D1199" s="0">
        <f dt2D="0" dtr="0">HYPERLINK("https://www.icra.in/Rating/RatingDetails?CompanyId=0&amp;CompanyName=Limtex Agri Udyog Limited", "Rationale")</f>
        <v/>
      </c>
    </row>
    <row r="1200">
      <c r="A1200" s="0" t="s">
        <v>2977</v>
      </c>
      <c r="B1200" s="0" t="s">
        <v>2978</v>
      </c>
      <c r="C1200" s="0" t="s">
        <v>2979</v>
      </c>
      <c r="D1200" s="0">
        <f dt2D="0" dtr="0">HYPERLINK("https://www.icra.in/Rating/RatingDetails?CompanyId=0&amp;CompanyName=Limtex India Limited", "Rationale")</f>
        <v/>
      </c>
    </row>
    <row r="1201">
      <c r="A1201" s="0" t="s">
        <v>2980</v>
      </c>
      <c r="B1201" s="0" t="s">
        <v>2981</v>
      </c>
      <c r="C1201" s="0" t="s">
        <v>1990</v>
      </c>
      <c r="D1201" s="0">
        <f dt2D="0" dtr="0">HYPERLINK("https://www.icra.in/Rating/RatingDetails?CompanyId=0&amp;CompanyName=Liners India Limited", "Rationale")</f>
        <v/>
      </c>
    </row>
    <row r="1202">
      <c r="A1202" s="0" t="s">
        <v>2982</v>
      </c>
      <c r="B1202" s="0" t="s">
        <v>2983</v>
      </c>
      <c r="C1202" s="0" t="s">
        <v>256</v>
      </c>
      <c r="D1202" s="0">
        <f dt2D="0" dtr="0">HYPERLINK("https://www.icra.in/Rating/RatingDetails?CompanyId=0&amp;CompanyName=LMJ International Limited", "Rationale")</f>
        <v/>
      </c>
    </row>
    <row r="1203">
      <c r="A1203" s="0" t="s">
        <v>2984</v>
      </c>
      <c r="B1203" s="0" t="s">
        <v>2985</v>
      </c>
      <c r="C1203" s="0" t="s">
        <v>2986</v>
      </c>
      <c r="D1203" s="0">
        <f dt2D="0" dtr="0">HYPERLINK("https://www.icra.in/Rating/RatingDetails?CompanyId=0&amp;CompanyName=Lml Limited", "Rationale")</f>
        <v/>
      </c>
    </row>
    <row r="1204">
      <c r="A1204" s="0" t="s">
        <v>2987</v>
      </c>
      <c r="B1204" s="0" t="s">
        <v>2988</v>
      </c>
      <c r="C1204" s="0" t="s">
        <v>1990</v>
      </c>
      <c r="D1204" s="0">
        <f dt2D="0" dtr="0">HYPERLINK("https://www.icra.in/Rating/RatingDetails?CompanyId=0&amp;CompanyName=LOF Constructions", "Rationale")</f>
        <v/>
      </c>
    </row>
    <row r="1205">
      <c r="A1205" s="0" t="s">
        <v>2989</v>
      </c>
      <c r="B1205" s="0" t="s">
        <v>2990</v>
      </c>
      <c r="C1205" s="0" t="s">
        <v>265</v>
      </c>
      <c r="D1205" s="0">
        <f dt2D="0" dtr="0">HYPERLINK("https://www.icra.in/Rating/RatingDetails?CompanyId=0&amp;CompanyName=Lohiya Developers", "Rationale")</f>
        <v/>
      </c>
    </row>
    <row r="1206">
      <c r="A1206" s="0" t="s">
        <v>2991</v>
      </c>
      <c r="B1206" s="0" t="s">
        <v>2992</v>
      </c>
      <c r="C1206" s="0" t="s">
        <v>290</v>
      </c>
      <c r="D1206" s="0">
        <f dt2D="0" dtr="0">HYPERLINK("https://www.icra.in/Rating/RatingDetails?CompanyId=0&amp;CompanyName=Lok Enterprises", "Rationale")</f>
        <v/>
      </c>
    </row>
    <row r="1207">
      <c r="A1207" s="0" t="s">
        <v>2993</v>
      </c>
      <c r="B1207" s="0" t="s">
        <v>2994</v>
      </c>
      <c r="C1207" s="0" t="s">
        <v>2995</v>
      </c>
      <c r="D1207" s="0">
        <f dt2D="0" dtr="0">HYPERLINK("https://www.icra.in/Rating/RatingDetails?CompanyId=0&amp;CompanyName=Lot Mobiles Private Limited", "Rationale")</f>
        <v/>
      </c>
    </row>
    <row r="1208">
      <c r="A1208" s="0" t="s">
        <v>2996</v>
      </c>
      <c r="B1208" s="0" t="s">
        <v>2997</v>
      </c>
      <c r="C1208" s="0" t="s">
        <v>81</v>
      </c>
      <c r="D1208" s="0">
        <f dt2D="0" dtr="0">HYPERLINK("https://www.icra.in/Rating/RatingDetails?CompanyId=0&amp;CompanyName=Lotus Overseas", "Rationale")</f>
        <v/>
      </c>
    </row>
    <row r="1209">
      <c r="A1209" s="0" t="s">
        <v>2998</v>
      </c>
      <c r="B1209" s="0" t="s">
        <v>2999</v>
      </c>
      <c r="C1209" s="0" t="s">
        <v>1784</v>
      </c>
      <c r="D1209" s="0">
        <f dt2D="0" dtr="0">HYPERLINK("https://www.icra.in/Rating/RatingDetails?CompanyId=0&amp;CompanyName=Lucknow Medical Agencies", "Rationale")</f>
        <v/>
      </c>
    </row>
    <row r="1210">
      <c r="A1210" s="0" t="s">
        <v>3000</v>
      </c>
      <c r="B1210" s="0" t="s">
        <v>3001</v>
      </c>
      <c r="C1210" s="0" t="s">
        <v>1959</v>
      </c>
      <c r="D1210" s="0">
        <f dt2D="0" dtr="0">HYPERLINK("https://www.icra.in/Rating/RatingDetails?CompanyId=0&amp;CompanyName=Lucknow Sitapur Expressways Limited", "Rationale")</f>
        <v/>
      </c>
    </row>
    <row r="1211">
      <c r="A1211" s="0" t="s">
        <v>3002</v>
      </c>
      <c r="B1211" s="0" t="s">
        <v>3003</v>
      </c>
      <c r="C1211" s="0" t="s">
        <v>3004</v>
      </c>
      <c r="D1211" s="0">
        <f dt2D="0" dtr="0">HYPERLINK("https://www.icra.in/Rating/RatingDetails?CompanyId=0&amp;CompanyName=Lucky Exports", "Rationale")</f>
        <v/>
      </c>
    </row>
    <row r="1212">
      <c r="A1212" s="0" t="s">
        <v>3005</v>
      </c>
      <c r="B1212" s="0" t="s">
        <v>3006</v>
      </c>
      <c r="C1212" s="0" t="s">
        <v>103</v>
      </c>
      <c r="D1212" s="0">
        <f dt2D="0" dtr="0">HYPERLINK("https://www.icra.in/Rating/RatingDetails?CompanyId=0&amp;CompanyName=Lucky Steel Industries (Ship Breaking Division)", "Rationale")</f>
        <v/>
      </c>
    </row>
    <row r="1213">
      <c r="A1213" s="0" t="s">
        <v>3007</v>
      </c>
      <c r="B1213" s="0" t="s">
        <v>3008</v>
      </c>
      <c r="C1213" s="0" t="s">
        <v>1575</v>
      </c>
      <c r="D1213" s="0">
        <f dt2D="0" dtr="0">HYPERLINK("https://www.icra.in/Rating/RatingDetails?CompanyId=0&amp;CompanyName=Lycon Microns Llp", "Rationale")</f>
        <v/>
      </c>
    </row>
    <row r="1214">
      <c r="A1214" s="0" t="s">
        <v>3009</v>
      </c>
      <c r="B1214" s="0" t="s">
        <v>3010</v>
      </c>
      <c r="C1214" s="0" t="s">
        <v>918</v>
      </c>
      <c r="D1214" s="0">
        <f dt2D="0" dtr="0">HYPERLINK("https://www.icra.in/Rating/RatingDetails?CompanyId=0&amp;CompanyName=Lypsa Gems and Jewellery Limited", "Rationale")</f>
        <v/>
      </c>
    </row>
    <row r="1215">
      <c r="A1215" s="0" t="s">
        <v>3011</v>
      </c>
      <c r="B1215" s="0" t="s">
        <v>3012</v>
      </c>
      <c r="C1215" s="0" t="s">
        <v>3013</v>
      </c>
      <c r="D1215" s="0">
        <f dt2D="0" dtr="0">HYPERLINK("https://www.icra.in/Rating/RatingDetails?CompanyId=0&amp;CompanyName=M B Ceramic LLP", "Rationale")</f>
        <v/>
      </c>
    </row>
    <row r="1216">
      <c r="A1216" s="0" t="s">
        <v>3014</v>
      </c>
      <c r="B1216" s="0" t="s">
        <v>3015</v>
      </c>
      <c r="C1216" s="0" t="s">
        <v>42</v>
      </c>
      <c r="D1216" s="0">
        <f dt2D="0" dtr="0">HYPERLINK("https://www.icra.in/Rating/RatingDetails?CompanyId=0&amp;CompanyName=M Ganesh", "Rationale")</f>
        <v/>
      </c>
    </row>
    <row r="1217">
      <c r="A1217" s="0" t="s">
        <v>3016</v>
      </c>
      <c r="B1217" s="0" t="s">
        <v>3017</v>
      </c>
      <c r="C1217" s="0" t="s">
        <v>71</v>
      </c>
      <c r="D1217" s="0">
        <f dt2D="0" dtr="0">HYPERLINK("https://www.icra.in/Rating/RatingDetails?CompanyId=0&amp;CompanyName=M K Roy &amp; Bros Projects Private Limited", "Rationale")</f>
        <v/>
      </c>
    </row>
    <row r="1218">
      <c r="A1218" s="0" t="s">
        <v>3018</v>
      </c>
      <c r="B1218" s="0" t="s">
        <v>3019</v>
      </c>
      <c r="C1218" s="0" t="s">
        <v>662</v>
      </c>
      <c r="D1218" s="0">
        <f dt2D="0" dtr="0">HYPERLINK("https://www.icra.in/Rating/RatingDetails?CompanyId=0&amp;CompanyName=M L Rice Mills", "Rationale")</f>
        <v/>
      </c>
    </row>
    <row r="1219">
      <c r="A1219" s="0" t="s">
        <v>3020</v>
      </c>
      <c r="B1219" s="0" t="s">
        <v>3021</v>
      </c>
      <c r="C1219" s="0" t="s">
        <v>1638</v>
      </c>
      <c r="D1219" s="0">
        <f dt2D="0" dtr="0">HYPERLINK("https://www.icra.in/Rating/RatingDetails?CompanyId=0&amp;CompanyName=M S Ramaiah Foundation", "Rationale")</f>
        <v/>
      </c>
    </row>
    <row r="1220">
      <c r="A1220" s="0" t="s">
        <v>3022</v>
      </c>
      <c r="B1220" s="0" t="s">
        <v>3023</v>
      </c>
      <c r="C1220" s="0" t="s">
        <v>71</v>
      </c>
      <c r="D1220" s="0">
        <f dt2D="0" dtr="0">HYPERLINK("https://www.icra.in/Rating/RatingDetails?CompanyId=0&amp;CompanyName=M V Agro Renewable Energy Pvt. Ltd.", "Rationale")</f>
        <v/>
      </c>
    </row>
    <row r="1221">
      <c r="A1221" s="0" t="s">
        <v>3024</v>
      </c>
      <c r="B1221" s="0" t="s">
        <v>3025</v>
      </c>
      <c r="C1221" s="0" t="s">
        <v>3026</v>
      </c>
      <c r="D1221" s="0">
        <f dt2D="0" dtr="0">HYPERLINK("https://www.icra.in/Rating/RatingDetails?CompanyId=0&amp;CompanyName=M V Shiptrade Private Limited", "Rationale")</f>
        <v/>
      </c>
    </row>
    <row r="1222">
      <c r="A1222" s="0" t="s">
        <v>3027</v>
      </c>
      <c r="B1222" s="0" t="s">
        <v>3028</v>
      </c>
      <c r="C1222" s="0" t="s">
        <v>3029</v>
      </c>
      <c r="D1222" s="0">
        <f dt2D="0" dtr="0">HYPERLINK("https://www.icra.in/Rating/RatingDetails?CompanyId=0&amp;CompanyName=M Venkatachalapathi", "Rationale")</f>
        <v/>
      </c>
    </row>
    <row r="1223">
      <c r="A1223" s="0" t="s">
        <v>3030</v>
      </c>
      <c r="B1223" s="0" t="s">
        <v>3031</v>
      </c>
      <c r="C1223" s="0" t="s">
        <v>1867</v>
      </c>
      <c r="D1223" s="0">
        <f dt2D="0" dtr="0">HYPERLINK("https://www.icra.in/Rating/RatingDetails?CompanyId=0&amp;CompanyName=M.D. Frozen Food Exports", "Rationale")</f>
        <v/>
      </c>
    </row>
    <row r="1224">
      <c r="A1224" s="0" t="s">
        <v>3032</v>
      </c>
      <c r="B1224" s="0" t="s">
        <v>3033</v>
      </c>
      <c r="C1224" s="0" t="s">
        <v>1867</v>
      </c>
      <c r="D1224" s="0">
        <f dt2D="0" dtr="0">HYPERLINK("https://www.icra.in/Rating/RatingDetails?CompanyId=0&amp;CompanyName=M.D. Frozen Food Exports Private Limited", "Rationale")</f>
        <v/>
      </c>
    </row>
    <row r="1225">
      <c r="A1225" s="0" t="s">
        <v>3034</v>
      </c>
      <c r="B1225" s="0" t="s">
        <v>3035</v>
      </c>
      <c r="C1225" s="0" t="s">
        <v>460</v>
      </c>
      <c r="D1225" s="0">
        <f dt2D="0" dtr="0">HYPERLINK("https://www.icra.in/Rating/RatingDetails?CompanyId=0&amp;CompanyName=M.G. Brothers Industries Private Limited", "Rationale")</f>
        <v/>
      </c>
    </row>
    <row r="1226">
      <c r="A1226" s="0" t="s">
        <v>3036</v>
      </c>
      <c r="B1226" s="0" t="s">
        <v>3037</v>
      </c>
      <c r="C1226" s="0" t="s">
        <v>508</v>
      </c>
      <c r="D1226" s="0">
        <f dt2D="0" dtr="0">HYPERLINK("https://www.icra.in/Rating/RatingDetails?CompanyId=0&amp;CompanyName=M.K. Aggarwal Hosiery (P) Limited", "Rationale")</f>
        <v/>
      </c>
    </row>
    <row r="1227">
      <c r="A1227" s="0" t="s">
        <v>3038</v>
      </c>
      <c r="B1227" s="0" t="s">
        <v>3039</v>
      </c>
      <c r="C1227" s="0" t="s">
        <v>583</v>
      </c>
      <c r="D1227" s="0">
        <f dt2D="0" dtr="0">HYPERLINK("https://www.icra.in/Rating/RatingDetails?CompanyId=0&amp;CompanyName=M.K. Wood India Private Limited", "Rationale")</f>
        <v/>
      </c>
    </row>
    <row r="1228">
      <c r="A1228" s="0" t="s">
        <v>3040</v>
      </c>
      <c r="B1228" s="0" t="s">
        <v>3041</v>
      </c>
      <c r="C1228" s="0" t="s">
        <v>3042</v>
      </c>
      <c r="D1228" s="0">
        <f dt2D="0" dtr="0">HYPERLINK("https://www.icra.in/Rating/RatingDetails?CompanyId=0&amp;CompanyName=M.M. Brothers", "Rationale")</f>
        <v/>
      </c>
    </row>
    <row r="1229">
      <c r="A1229" s="0" t="s">
        <v>3043</v>
      </c>
      <c r="B1229" s="0" t="s">
        <v>3044</v>
      </c>
      <c r="C1229" s="0" t="s">
        <v>109</v>
      </c>
      <c r="D1229" s="0">
        <f dt2D="0" dtr="0">HYPERLINK("https://www.icra.in/Rating/RatingDetails?CompanyId=0&amp;CompanyName=M.M. Ispat Pvt Ltd", "Rationale")</f>
        <v/>
      </c>
    </row>
    <row r="1230">
      <c r="A1230" s="0" t="s">
        <v>3045</v>
      </c>
      <c r="B1230" s="0" t="s">
        <v>3046</v>
      </c>
      <c r="C1230" s="0" t="s">
        <v>3047</v>
      </c>
      <c r="D1230" s="0">
        <f dt2D="0" dtr="0">HYPERLINK("https://www.icra.in/Rating/RatingDetails?CompanyId=0&amp;CompanyName=M.S. Life Drug House Private Limited", "Rationale")</f>
        <v/>
      </c>
    </row>
    <row r="1231">
      <c r="A1231" s="0" t="s">
        <v>3048</v>
      </c>
      <c r="B1231" s="0" t="s">
        <v>3049</v>
      </c>
      <c r="C1231" s="0" t="s">
        <v>71</v>
      </c>
      <c r="D1231" s="0">
        <f dt2D="0" dtr="0">HYPERLINK("https://www.icra.in/Rating/RatingDetails?CompanyId=0&amp;CompanyName=M/s Jagatpal Singh", "Rationale")</f>
        <v/>
      </c>
    </row>
    <row r="1232">
      <c r="A1232" s="0" t="s">
        <v>3050</v>
      </c>
      <c r="B1232" s="0" t="s">
        <v>3051</v>
      </c>
      <c r="C1232" s="0" t="s">
        <v>92</v>
      </c>
      <c r="D1232" s="0">
        <f dt2D="0" dtr="0">HYPERLINK("https://www.icra.in/Rating/RatingDetails?CompanyId=0&amp;CompanyName=M/s Karun Rice &amp; General Mills", "Rationale")</f>
        <v/>
      </c>
    </row>
    <row r="1233">
      <c r="A1233" s="0" t="s">
        <v>3052</v>
      </c>
      <c r="B1233" s="0" t="s">
        <v>3053</v>
      </c>
      <c r="C1233" s="0" t="s">
        <v>346</v>
      </c>
      <c r="D1233" s="0">
        <f dt2D="0" dtr="0">HYPERLINK("https://www.icra.in/Rating/RatingDetails?CompanyId=0&amp;CompanyName=M/S Kirpa Rice Mills", "Rationale")</f>
        <v/>
      </c>
    </row>
    <row r="1234">
      <c r="A1234" s="0" t="s">
        <v>3054</v>
      </c>
      <c r="B1234" s="0" t="s">
        <v>3055</v>
      </c>
      <c r="C1234" s="0" t="s">
        <v>71</v>
      </c>
      <c r="D1234" s="0">
        <f dt2D="0" dtr="0">HYPERLINK("https://www.icra.in/Rating/RatingDetails?CompanyId=0&amp;CompanyName=M/s Quadros Motors Pvt. Ltd.", "Rationale")</f>
        <v/>
      </c>
    </row>
    <row r="1235">
      <c r="A1235" s="0" t="s">
        <v>3056</v>
      </c>
      <c r="B1235" s="0" t="s">
        <v>3057</v>
      </c>
      <c r="C1235" s="0" t="s">
        <v>2155</v>
      </c>
      <c r="D1235" s="0">
        <f dt2D="0" dtr="0">HYPERLINK("https://www.icra.in/Rating/RatingDetails?CompanyId=0&amp;CompanyName=M/S Shiv Dal Mill", "Rationale")</f>
        <v/>
      </c>
    </row>
    <row r="1236">
      <c r="A1236" s="0" t="s">
        <v>3058</v>
      </c>
      <c r="B1236" s="0" t="s">
        <v>3059</v>
      </c>
      <c r="C1236" s="0" t="s">
        <v>3060</v>
      </c>
      <c r="D1236" s="0">
        <f dt2D="0" dtr="0">HYPERLINK("https://www.icra.in/Rating/RatingDetails?CompanyId=0&amp;CompanyName=M/s. Ardhendu Mondal", "Rationale")</f>
        <v/>
      </c>
    </row>
    <row r="1237">
      <c r="A1237" s="0" t="s">
        <v>3061</v>
      </c>
      <c r="B1237" s="0" t="s">
        <v>3062</v>
      </c>
      <c r="C1237" s="0" t="s">
        <v>71</v>
      </c>
      <c r="D1237" s="0">
        <f dt2D="0" dtr="0">HYPERLINK("https://www.icra.in/Rating/RatingDetails?CompanyId=0&amp;CompanyName=M/s. Ashutosh Bandyopadhayay", "Rationale")</f>
        <v/>
      </c>
    </row>
    <row r="1238">
      <c r="A1238" s="0" t="s">
        <v>3063</v>
      </c>
      <c r="B1238" s="0" t="s">
        <v>3064</v>
      </c>
      <c r="C1238" s="0" t="s">
        <v>71</v>
      </c>
      <c r="D1238" s="0">
        <f dt2D="0" dtr="0">HYPERLINK("https://www.icra.in/Rating/RatingDetails?CompanyId=0&amp;CompanyName=M/S. M. S. Engineering", "Rationale")</f>
        <v/>
      </c>
    </row>
    <row r="1239">
      <c r="A1239" s="0" t="s">
        <v>3065</v>
      </c>
      <c r="B1239" s="0" t="s">
        <v>3066</v>
      </c>
      <c r="C1239" s="0" t="s">
        <v>103</v>
      </c>
      <c r="D1239" s="0">
        <f dt2D="0" dtr="0">HYPERLINK("https://www.icra.in/Rating/RatingDetails?CompanyId=0&amp;CompanyName=M/S. M.D.Agro Foods", "Rationale")</f>
        <v/>
      </c>
    </row>
    <row r="1240">
      <c r="A1240" s="0" t="s">
        <v>3067</v>
      </c>
      <c r="B1240" s="0" t="s">
        <v>3068</v>
      </c>
      <c r="C1240" s="0" t="s">
        <v>511</v>
      </c>
      <c r="D1240" s="0">
        <f dt2D="0" dtr="0">HYPERLINK("https://www.icra.in/Rating/RatingDetails?CompanyId=0&amp;CompanyName=M/S. Pankaj C. Patel", "Rationale")</f>
        <v/>
      </c>
    </row>
    <row r="1241">
      <c r="A1241" s="0" t="s">
        <v>3069</v>
      </c>
      <c r="B1241" s="0" t="s">
        <v>3070</v>
      </c>
      <c r="C1241" s="0" t="s">
        <v>3071</v>
      </c>
      <c r="D1241" s="0">
        <f dt2D="0" dtr="0">HYPERLINK("https://www.icra.in/Rating/RatingDetails?CompanyId=0&amp;CompanyName=M/s. Radhanath Bhunia &amp; Sons", "Rationale")</f>
        <v/>
      </c>
    </row>
    <row r="1242">
      <c r="A1242" s="0" t="s">
        <v>3072</v>
      </c>
      <c r="B1242" s="0" t="s">
        <v>3073</v>
      </c>
      <c r="C1242" s="0" t="s">
        <v>36</v>
      </c>
      <c r="D1242" s="0">
        <f dt2D="0" dtr="0">HYPERLINK("https://www.icra.in/Rating/RatingDetails?CompanyId=0&amp;CompanyName=Ma Sarada Cold Storage Private Limited", "Rationale")</f>
        <v/>
      </c>
    </row>
    <row r="1243">
      <c r="A1243" s="0" t="s">
        <v>3074</v>
      </c>
      <c r="B1243" s="0" t="s">
        <v>3075</v>
      </c>
      <c r="C1243" s="0" t="s">
        <v>6</v>
      </c>
      <c r="D1243" s="0">
        <f dt2D="0" dtr="0">HYPERLINK("https://www.icra.in/Rating/RatingDetails?CompanyId=0&amp;CompanyName=Maa Bameswari Cold Storage Private Limited", "Rationale")</f>
        <v/>
      </c>
    </row>
    <row r="1244">
      <c r="A1244" s="0" t="s">
        <v>3076</v>
      </c>
      <c r="B1244" s="0" t="s">
        <v>3077</v>
      </c>
      <c r="C1244" s="0" t="s">
        <v>3078</v>
      </c>
      <c r="D1244" s="0">
        <f dt2D="0" dtr="0">HYPERLINK("https://www.icra.in/Rating/RatingDetails?CompanyId=0&amp;CompanyName=Maa Gauri Poultry Private Limited", "Rationale")</f>
        <v/>
      </c>
    </row>
    <row r="1245">
      <c r="A1245" s="0" t="s">
        <v>3079</v>
      </c>
      <c r="B1245" s="0" t="s">
        <v>3080</v>
      </c>
      <c r="C1245" s="0" t="s">
        <v>492</v>
      </c>
      <c r="D1245" s="0">
        <f dt2D="0" dtr="0">HYPERLINK("https://www.icra.in/Rating/RatingDetails?CompanyId=0&amp;CompanyName=Maa Sheetla Industries Private Limited", "Rationale")</f>
        <v/>
      </c>
    </row>
    <row r="1246">
      <c r="A1246" s="0" t="s">
        <v>3081</v>
      </c>
      <c r="B1246" s="0" t="s">
        <v>3082</v>
      </c>
      <c r="C1246" s="0" t="s">
        <v>3083</v>
      </c>
      <c r="D1246" s="0">
        <f dt2D="0" dtr="0">HYPERLINK("https://www.icra.in/Rating/RatingDetails?CompanyId=0&amp;CompanyName=Maa Shitala Agro Private Limited", "Rationale")</f>
        <v/>
      </c>
    </row>
    <row r="1247">
      <c r="A1247" s="0" t="s">
        <v>3084</v>
      </c>
      <c r="B1247" s="0" t="s">
        <v>3085</v>
      </c>
      <c r="C1247" s="0" t="s">
        <v>3086</v>
      </c>
      <c r="D1247" s="0">
        <f dt2D="0" dtr="0">HYPERLINK("https://www.icra.in/Rating/RatingDetails?CompanyId=0&amp;CompanyName=Maa Vaishno Edibles Private Limited", "Rationale")</f>
        <v/>
      </c>
    </row>
    <row r="1248">
      <c r="A1248" s="0" t="s">
        <v>3087</v>
      </c>
      <c r="B1248" s="0" t="s">
        <v>3088</v>
      </c>
      <c r="C1248" s="0" t="s">
        <v>324</v>
      </c>
      <c r="D1248" s="0">
        <f dt2D="0" dtr="0">HYPERLINK("https://www.icra.in/Rating/RatingDetails?CompanyId=0&amp;CompanyName=Maberest Hotels Private Limited", "Rationale")</f>
        <v/>
      </c>
    </row>
    <row r="1249">
      <c r="A1249" s="0" t="s">
        <v>3089</v>
      </c>
      <c r="B1249" s="0" t="s">
        <v>3090</v>
      </c>
      <c r="C1249" s="0" t="s">
        <v>2656</v>
      </c>
      <c r="D1249" s="0">
        <f dt2D="0" dtr="0">HYPERLINK("https://www.icra.in/Rating/RatingDetails?CompanyId=0&amp;CompanyName=Machilipatnam Municipality", "Rationale")</f>
        <v/>
      </c>
    </row>
    <row r="1250">
      <c r="A1250" s="0" t="s">
        <v>3091</v>
      </c>
      <c r="B1250" s="0" t="s">
        <v>3092</v>
      </c>
      <c r="C1250" s="0" t="s">
        <v>3093</v>
      </c>
      <c r="D1250" s="0">
        <f dt2D="0" dtr="0">HYPERLINK("https://www.icra.in/Rating/RatingDetails?CompanyId=0&amp;CompanyName=Mackintosh Burn Limited", "Rationale")</f>
        <v/>
      </c>
    </row>
    <row r="1251">
      <c r="A1251" s="0" t="s">
        <v>3094</v>
      </c>
      <c r="B1251" s="0" t="s">
        <v>3095</v>
      </c>
      <c r="C1251" s="0" t="s">
        <v>3096</v>
      </c>
      <c r="D1251" s="0">
        <f dt2D="0" dtr="0">HYPERLINK("https://www.icra.in/Rating/RatingDetails?CompanyId=0&amp;CompanyName=Mad Studios Private Limited", "Rationale")</f>
        <v/>
      </c>
    </row>
    <row r="1252">
      <c r="A1252" s="0" t="s">
        <v>3097</v>
      </c>
      <c r="B1252" s="0" t="s">
        <v>3098</v>
      </c>
      <c r="C1252" s="0" t="s">
        <v>1251</v>
      </c>
      <c r="D1252" s="0">
        <f dt2D="0" dtr="0">HYPERLINK("https://www.icra.in/Rating/RatingDetails?CompanyId=0&amp;CompanyName=Madhabganj Karunamoyee Himghar Pvt Ltd", "Rationale")</f>
        <v/>
      </c>
    </row>
    <row r="1253">
      <c r="A1253" s="0" t="s">
        <v>3099</v>
      </c>
      <c r="B1253" s="0" t="s">
        <v>3100</v>
      </c>
      <c r="C1253" s="0" t="s">
        <v>388</v>
      </c>
      <c r="D1253" s="0">
        <f dt2D="0" dtr="0">HYPERLINK("https://www.icra.in/Rating/RatingDetails?CompanyId=0&amp;CompanyName=Madhava Hytech Infrastructures (India) Private Limited", "Rationale")</f>
        <v/>
      </c>
    </row>
    <row r="1254">
      <c r="A1254" s="0" t="s">
        <v>3101</v>
      </c>
      <c r="B1254" s="0" t="s">
        <v>3102</v>
      </c>
      <c r="C1254" s="0" t="s">
        <v>446</v>
      </c>
      <c r="D1254" s="0">
        <f dt2D="0" dtr="0">HYPERLINK("https://www.icra.in/Rating/RatingDetails?CompanyId=0&amp;CompanyName=Madhucon Projects Limited", "Rationale")</f>
        <v/>
      </c>
    </row>
    <row r="1255">
      <c r="A1255" s="0" t="s">
        <v>3103</v>
      </c>
      <c r="B1255" s="0" t="s">
        <v>3104</v>
      </c>
      <c r="C1255" s="0" t="s">
        <v>50</v>
      </c>
      <c r="D1255" s="0">
        <f dt2D="0" dtr="0">HYPERLINK("https://www.icra.in/Rating/RatingDetails?CompanyId=0&amp;CompanyName=Madhucon Sugar And Power Industries Limited", "Rationale")</f>
        <v/>
      </c>
    </row>
    <row r="1256">
      <c r="A1256" s="0" t="s">
        <v>3105</v>
      </c>
      <c r="B1256" s="0" t="s">
        <v>3106</v>
      </c>
      <c r="C1256" s="0" t="s">
        <v>2390</v>
      </c>
      <c r="D1256" s="0">
        <f dt2D="0" dtr="0">HYPERLINK("https://www.icra.in/Rating/RatingDetails?CompanyId=0&amp;CompanyName=Madhur Engineers Private Limited", "Rationale")</f>
        <v/>
      </c>
    </row>
    <row r="1257">
      <c r="A1257" s="0" t="s">
        <v>3107</v>
      </c>
      <c r="B1257" s="0" t="s">
        <v>3108</v>
      </c>
      <c r="C1257" s="0" t="s">
        <v>3109</v>
      </c>
      <c r="D1257" s="0">
        <f dt2D="0" dtr="0">HYPERLINK("https://www.icra.in/Rating/RatingDetails?CompanyId=0&amp;CompanyName=Madhusudan Garai", "Rationale")</f>
        <v/>
      </c>
    </row>
    <row r="1258">
      <c r="A1258" s="0" t="s">
        <v>3110</v>
      </c>
      <c r="B1258" s="0" t="s">
        <v>3111</v>
      </c>
      <c r="C1258" s="0" t="s">
        <v>293</v>
      </c>
      <c r="D1258" s="0">
        <f dt2D="0" dtr="0">HYPERLINK("https://www.icra.in/Rating/RatingDetails?CompanyId=0&amp;CompanyName=Madhuvan Cotton Private Limited", "Rationale")</f>
        <v/>
      </c>
    </row>
    <row r="1259">
      <c r="A1259" s="0" t="s">
        <v>3112</v>
      </c>
      <c r="B1259" s="0" t="s">
        <v>3113</v>
      </c>
      <c r="C1259" s="0" t="s">
        <v>71</v>
      </c>
      <c r="D1259" s="0">
        <f dt2D="0" dtr="0">HYPERLINK("https://www.icra.in/Rating/RatingDetails?CompanyId=0&amp;CompanyName=Madhuvan Prasad Infra Private Limited", "Rationale")</f>
        <v/>
      </c>
    </row>
    <row r="1260">
      <c r="A1260" s="0" t="s">
        <v>3114</v>
      </c>
      <c r="B1260" s="0" t="s">
        <v>3115</v>
      </c>
      <c r="C1260" s="0" t="s">
        <v>819</v>
      </c>
      <c r="D1260" s="0">
        <f dt2D="0" dtr="0">HYPERLINK("https://www.icra.in/Rating/RatingDetails?CompanyId=0&amp;CompanyName=Madurai Tuticorin Expressways Limited", "Rationale")</f>
        <v/>
      </c>
    </row>
    <row r="1261">
      <c r="A1261" s="0" t="s">
        <v>3116</v>
      </c>
      <c r="B1261" s="0" t="s">
        <v>3117</v>
      </c>
      <c r="C1261" s="0" t="s">
        <v>583</v>
      </c>
      <c r="D1261" s="0">
        <f dt2D="0" dtr="0">HYPERLINK("https://www.icra.in/Rating/RatingDetails?CompanyId=0&amp;CompanyName=MAG India Industrial Automation Systems Private Limited", "Rationale")</f>
        <v/>
      </c>
    </row>
    <row r="1262">
      <c r="A1262" s="0" t="s">
        <v>3118</v>
      </c>
      <c r="B1262" s="0" t="s">
        <v>3119</v>
      </c>
      <c r="C1262" s="0" t="s">
        <v>3120</v>
      </c>
      <c r="D1262" s="0">
        <f dt2D="0" dtr="0">HYPERLINK("https://www.icra.in/Rating/RatingDetails?CompanyId=0&amp;CompanyName=Magadh Precision Equipment Limited", "Rationale")</f>
        <v/>
      </c>
    </row>
    <row r="1263">
      <c r="A1263" s="0" t="s">
        <v>3121</v>
      </c>
      <c r="B1263" s="0" t="s">
        <v>3122</v>
      </c>
      <c r="C1263" s="0" t="s">
        <v>3123</v>
      </c>
      <c r="D1263" s="0">
        <f dt2D="0" dtr="0">HYPERLINK("https://www.icra.in/Rating/RatingDetails?CompanyId=0&amp;CompanyName=Magma Autolinks Private Limited", "Rationale")</f>
        <v/>
      </c>
    </row>
    <row r="1264">
      <c r="A1264" s="0" t="s">
        <v>3124</v>
      </c>
      <c r="B1264" s="0" t="s">
        <v>3125</v>
      </c>
      <c r="C1264" s="0" t="s">
        <v>941</v>
      </c>
      <c r="D1264" s="0">
        <f dt2D="0" dtr="0">HYPERLINK("https://www.icra.in/Rating/RatingDetails?CompanyId=0&amp;CompanyName=Magna Projects Private Limited", "Rationale")</f>
        <v/>
      </c>
    </row>
    <row r="1265">
      <c r="A1265" s="0" t="s">
        <v>3126</v>
      </c>
      <c r="B1265" s="0" t="s">
        <v>3127</v>
      </c>
      <c r="C1265" s="0" t="s">
        <v>3128</v>
      </c>
      <c r="D1265" s="0">
        <f dt2D="0" dtr="0">HYPERLINK("https://www.icra.in/Rating/RatingDetails?CompanyId=0&amp;CompanyName=Magnasoft Consulting India Private Limited", "Rationale")</f>
        <v/>
      </c>
    </row>
    <row r="1266">
      <c r="A1266" s="0" t="s">
        <v>3129</v>
      </c>
      <c r="B1266" s="0" t="s">
        <v>3130</v>
      </c>
      <c r="C1266" s="0" t="s">
        <v>514</v>
      </c>
      <c r="D1266" s="0">
        <f dt2D="0" dtr="0">HYPERLINK("https://www.icra.in/Rating/RatingDetails?CompanyId=0&amp;CompanyName=Magnolia Martinique Clothing Private Limited", "Rationale")</f>
        <v/>
      </c>
    </row>
    <row r="1267">
      <c r="A1267" s="0" t="s">
        <v>3131</v>
      </c>
      <c r="B1267" s="0" t="s">
        <v>3132</v>
      </c>
      <c r="C1267" s="0" t="s">
        <v>2930</v>
      </c>
      <c r="D1267" s="0">
        <f dt2D="0" dtr="0">HYPERLINK("https://www.icra.in/Rating/RatingDetails?CompanyId=0&amp;CompanyName=Magppie Exports Private Limited", "Rationale")</f>
        <v/>
      </c>
    </row>
    <row r="1268">
      <c r="A1268" s="0" t="s">
        <v>3133</v>
      </c>
      <c r="B1268" s="0" t="s">
        <v>3134</v>
      </c>
      <c r="C1268" s="0" t="s">
        <v>430</v>
      </c>
      <c r="D1268" s="0">
        <f dt2D="0" dtr="0">HYPERLINK("https://www.icra.in/Rating/RatingDetails?CompanyId=0&amp;CompanyName=Magus Metals Private Limited", "Rationale")</f>
        <v/>
      </c>
    </row>
    <row r="1269">
      <c r="A1269" s="0" t="s">
        <v>3135</v>
      </c>
      <c r="B1269" s="0" t="s">
        <v>3136</v>
      </c>
      <c r="C1269" s="0" t="s">
        <v>3137</v>
      </c>
      <c r="D1269" s="0">
        <f dt2D="0" dtr="0">HYPERLINK("https://www.icra.in/Rating/RatingDetails?CompanyId=0&amp;CompanyName=Maha Durga Charitable Trust", "Rationale")</f>
        <v/>
      </c>
    </row>
    <row r="1270">
      <c r="A1270" s="0" t="s">
        <v>3138</v>
      </c>
      <c r="B1270" s="0" t="s">
        <v>3139</v>
      </c>
      <c r="C1270" s="0" t="s">
        <v>71</v>
      </c>
      <c r="D1270" s="0">
        <f dt2D="0" dtr="0">HYPERLINK("https://www.icra.in/Rating/RatingDetails?CompanyId=0&amp;CompanyName=Maha Sai Laboratories", "Rationale")</f>
        <v/>
      </c>
    </row>
    <row r="1271">
      <c r="A1271" s="0" t="s">
        <v>3140</v>
      </c>
      <c r="B1271" s="0" t="s">
        <v>3141</v>
      </c>
      <c r="C1271" s="0" t="s">
        <v>699</v>
      </c>
      <c r="D1271" s="0">
        <f dt2D="0" dtr="0">HYPERLINK("https://www.icra.in/Rating/RatingDetails?CompanyId=0&amp;CompanyName=Mahabubnagar Municipality", "Rationale")</f>
        <v/>
      </c>
    </row>
    <row r="1272">
      <c r="A1272" s="0" t="s">
        <v>3142</v>
      </c>
      <c r="B1272" s="0" t="s">
        <v>3143</v>
      </c>
      <c r="C1272" s="0" t="s">
        <v>346</v>
      </c>
      <c r="D1272" s="0">
        <f dt2D="0" dtr="0">HYPERLINK("https://www.icra.in/Rating/RatingDetails?CompanyId=0&amp;CompanyName=Mahadev Industries", "Rationale")</f>
        <v/>
      </c>
    </row>
    <row r="1273">
      <c r="A1273" s="0" t="s">
        <v>3144</v>
      </c>
      <c r="B1273" s="0" t="s">
        <v>3145</v>
      </c>
      <c r="C1273" s="0" t="s">
        <v>81</v>
      </c>
      <c r="D1273" s="0">
        <f dt2D="0" dtr="0">HYPERLINK("https://www.icra.in/Rating/RatingDetails?CompanyId=0&amp;CompanyName=Mahadev Weaving Industries Llp", "Rationale")</f>
        <v/>
      </c>
    </row>
    <row r="1274">
      <c r="A1274" s="0" t="s">
        <v>3146</v>
      </c>
      <c r="B1274" s="0" t="s">
        <v>3147</v>
      </c>
      <c r="C1274" s="0" t="s">
        <v>30</v>
      </c>
      <c r="D1274" s="0">
        <f dt2D="0" dtr="0">HYPERLINK("https://www.icra.in/Rating/RatingDetails?CompanyId=0&amp;CompanyName=Mahakaleshwar Tollways Private Limited", "Rationale")</f>
        <v/>
      </c>
    </row>
    <row r="1275">
      <c r="A1275" s="0" t="s">
        <v>3148</v>
      </c>
      <c r="B1275" s="0" t="s">
        <v>3149</v>
      </c>
      <c r="C1275" s="0" t="s">
        <v>3150</v>
      </c>
      <c r="D1275" s="0">
        <f dt2D="0" dtr="0">HYPERLINK("https://www.icra.in/Rating/RatingDetails?CompanyId=0&amp;CompanyName=Mahalakshmi Leasing Limited", "Rationale")</f>
        <v/>
      </c>
    </row>
    <row r="1276">
      <c r="A1276" s="0" t="s">
        <v>3151</v>
      </c>
      <c r="B1276" s="0" t="s">
        <v>3152</v>
      </c>
      <c r="C1276" s="0" t="s">
        <v>3153</v>
      </c>
      <c r="D1276" s="0">
        <f dt2D="0" dtr="0">HYPERLINK("https://www.icra.in/Rating/RatingDetails?CompanyId=0&amp;CompanyName=Mahalaxmi Associates Pvt. Ltd.", "Rationale")</f>
        <v/>
      </c>
    </row>
    <row r="1277">
      <c r="A1277" s="0" t="s">
        <v>3154</v>
      </c>
      <c r="B1277" s="0" t="s">
        <v>3155</v>
      </c>
      <c r="C1277" s="0" t="s">
        <v>3156</v>
      </c>
      <c r="D1277" s="0">
        <f dt2D="0" dtr="0">HYPERLINK("https://www.icra.in/Rating/RatingDetails?CompanyId=0&amp;CompanyName=Mahalaxmi Buildwell Enterprises Private Limited", "Rationale")</f>
        <v/>
      </c>
    </row>
    <row r="1278">
      <c r="A1278" s="0" t="s">
        <v>3157</v>
      </c>
      <c r="B1278" s="0" t="s">
        <v>3158</v>
      </c>
      <c r="C1278" s="0" t="s">
        <v>986</v>
      </c>
      <c r="D1278" s="0">
        <f dt2D="0" dtr="0">HYPERLINK("https://www.icra.in/Rating/RatingDetails?CompanyId=0&amp;CompanyName=Mahalaxmi Cashew Industries", "Rationale")</f>
        <v/>
      </c>
    </row>
    <row r="1279">
      <c r="A1279" s="0" t="s">
        <v>3159</v>
      </c>
      <c r="B1279" s="0" t="s">
        <v>3160</v>
      </c>
      <c r="C1279" s="0" t="s">
        <v>71</v>
      </c>
      <c r="D1279" s="0">
        <f dt2D="0" dtr="0">HYPERLINK("https://www.icra.in/Rating/RatingDetails?CompanyId=0&amp;CompanyName=Mahalaxmi Cotton", "Rationale")</f>
        <v/>
      </c>
    </row>
    <row r="1280">
      <c r="A1280" s="0" t="s">
        <v>3161</v>
      </c>
      <c r="B1280" s="0" t="s">
        <v>3162</v>
      </c>
      <c r="C1280" s="0" t="s">
        <v>3153</v>
      </c>
      <c r="D1280" s="0">
        <f dt2D="0" dtr="0">HYPERLINK("https://www.icra.in/Rating/RatingDetails?CompanyId=0&amp;CompanyName=Mahalaxmi India Pvt. Ltd.", "Rationale")</f>
        <v/>
      </c>
    </row>
    <row r="1281">
      <c r="A1281" s="0" t="s">
        <v>3163</v>
      </c>
      <c r="B1281" s="0" t="s">
        <v>3164</v>
      </c>
      <c r="C1281" s="0" t="s">
        <v>18</v>
      </c>
      <c r="D1281" s="0">
        <f dt2D="0" dtr="0">HYPERLINK("https://www.icra.in/Rating/RatingDetails?CompanyId=0&amp;CompanyName=Mahalaxmi Technocast Limited", "Rationale")</f>
        <v/>
      </c>
    </row>
    <row r="1282">
      <c r="A1282" s="0" t="s">
        <v>3165</v>
      </c>
      <c r="B1282" s="0" t="s">
        <v>3166</v>
      </c>
      <c r="C1282" s="0" t="s">
        <v>3167</v>
      </c>
      <c r="D1282" s="0">
        <f dt2D="0" dtr="0">HYPERLINK("https://www.icra.in/Rating/RatingDetails?CompanyId=0&amp;CompanyName=Mahamaya Cashew Industries", "Rationale")</f>
        <v/>
      </c>
    </row>
    <row r="1283">
      <c r="A1283" s="0" t="s">
        <v>3168</v>
      </c>
      <c r="B1283" s="0" t="s">
        <v>3169</v>
      </c>
      <c r="C1283" s="0" t="s">
        <v>6</v>
      </c>
      <c r="D1283" s="0">
        <f dt2D="0" dtr="0">HYPERLINK("https://www.icra.in/Rating/RatingDetails?CompanyId=0&amp;CompanyName=Mahamaya Steel Industries Limited", "Rationale")</f>
        <v/>
      </c>
    </row>
    <row r="1284">
      <c r="A1284" s="0" t="s">
        <v>3170</v>
      </c>
      <c r="B1284" s="0" t="s">
        <v>3171</v>
      </c>
      <c r="C1284" s="0" t="s">
        <v>103</v>
      </c>
      <c r="D1284" s="0">
        <f dt2D="0" dtr="0">HYPERLINK("https://www.icra.in/Rating/RatingDetails?CompanyId=0&amp;CompanyName=Mahan Plastics Private Limited", "Rationale")</f>
        <v/>
      </c>
    </row>
    <row r="1285">
      <c r="A1285" s="0" t="s">
        <v>3172</v>
      </c>
      <c r="B1285" s="0" t="s">
        <v>3173</v>
      </c>
      <c r="C1285" s="0" t="s">
        <v>1111</v>
      </c>
      <c r="D1285" s="0">
        <f dt2D="0" dtr="0">HYPERLINK("https://www.icra.in/Rating/RatingDetails?CompanyId=0&amp;CompanyName=Maharaja Sathyam Industries Private Limited", "Rationale")</f>
        <v/>
      </c>
    </row>
    <row r="1286">
      <c r="A1286" s="0" t="s">
        <v>3174</v>
      </c>
      <c r="B1286" s="0" t="s">
        <v>3175</v>
      </c>
      <c r="C1286" s="0" t="s">
        <v>3176</v>
      </c>
      <c r="D1286" s="0">
        <f dt2D="0" dtr="0">HYPERLINK("https://www.icra.in/Rating/RatingDetails?CompanyId=0&amp;CompanyName=Mahavir Ship Breakers", "Rationale")</f>
        <v/>
      </c>
    </row>
    <row r="1287">
      <c r="A1287" s="0" t="s">
        <v>3177</v>
      </c>
      <c r="B1287" s="0" t="s">
        <v>3178</v>
      </c>
      <c r="C1287" s="0" t="s">
        <v>1335</v>
      </c>
      <c r="D1287" s="0">
        <f dt2D="0" dtr="0">HYPERLINK("https://www.icra.in/Rating/RatingDetails?CompanyId=0&amp;CompanyName=Mahesh Agri Exim Private Limited", "Rationale")</f>
        <v/>
      </c>
    </row>
    <row r="1288">
      <c r="A1288" s="0" t="s">
        <v>3179</v>
      </c>
      <c r="B1288" s="0" t="s">
        <v>3180</v>
      </c>
      <c r="C1288" s="0" t="s">
        <v>141</v>
      </c>
      <c r="D1288" s="0">
        <f dt2D="0" dtr="0">HYPERLINK("https://www.icra.in/Rating/RatingDetails?CompanyId=0&amp;CompanyName=Mahesh Electrical &amp; Telecom", "Rationale")</f>
        <v/>
      </c>
    </row>
    <row r="1289">
      <c r="A1289" s="0" t="s">
        <v>3181</v>
      </c>
      <c r="B1289" s="0" t="s">
        <v>3182</v>
      </c>
      <c r="C1289" s="0" t="s">
        <v>508</v>
      </c>
      <c r="D1289" s="0">
        <f dt2D="0" dtr="0">HYPERLINK("https://www.icra.in/Rating/RatingDetails?CompanyId=0&amp;CompanyName=Mahesh Ginning Private Limited", "Rationale")</f>
        <v/>
      </c>
    </row>
    <row r="1290">
      <c r="A1290" s="0" t="s">
        <v>3183</v>
      </c>
      <c r="B1290" s="0" t="s">
        <v>3184</v>
      </c>
      <c r="C1290" s="0" t="s">
        <v>56</v>
      </c>
      <c r="D1290" s="0">
        <f dt2D="0" dtr="0">HYPERLINK("https://www.icra.in/Rating/RatingDetails?CompanyId=0&amp;CompanyName=Mahesh Hardware &amp; Pipes Pvt Ltd", "Rationale")</f>
        <v/>
      </c>
    </row>
    <row r="1291">
      <c r="A1291" s="0" t="s">
        <v>3185</v>
      </c>
      <c r="B1291" s="0" t="s">
        <v>3186</v>
      </c>
      <c r="C1291" s="0" t="s">
        <v>3187</v>
      </c>
      <c r="D1291" s="0">
        <f dt2D="0" dtr="0">HYPERLINK("https://www.icra.in/Rating/RatingDetails?CompanyId=0&amp;CompanyName=Mahesh Lumber Private Limited", "Rationale")</f>
        <v/>
      </c>
    </row>
    <row r="1292">
      <c r="A1292" s="0" t="s">
        <v>3188</v>
      </c>
      <c r="B1292" s="0" t="s">
        <v>3189</v>
      </c>
      <c r="C1292" s="0" t="s">
        <v>50</v>
      </c>
      <c r="D1292" s="0">
        <f dt2D="0" dtr="0">HYPERLINK("https://www.icra.in/Rating/RatingDetails?CompanyId=0&amp;CompanyName=Mahesh Mercandise Private Limited", "Rationale")</f>
        <v/>
      </c>
    </row>
    <row r="1293">
      <c r="A1293" s="0" t="s">
        <v>3190</v>
      </c>
      <c r="B1293" s="0" t="s">
        <v>3191</v>
      </c>
      <c r="C1293" s="0" t="s">
        <v>1651</v>
      </c>
      <c r="D1293" s="0">
        <f dt2D="0" dtr="0">HYPERLINK("https://www.icra.in/Rating/RatingDetails?CompanyId=0&amp;CompanyName=Mahesh Rice Mill", "Rationale")</f>
        <v/>
      </c>
    </row>
    <row r="1294">
      <c r="A1294" s="0" t="s">
        <v>3192</v>
      </c>
      <c r="B1294" s="0" t="s">
        <v>3193</v>
      </c>
      <c r="C1294" s="0" t="s">
        <v>71</v>
      </c>
      <c r="D1294" s="0">
        <f dt2D="0" dtr="0">HYPERLINK("https://www.icra.in/Rating/RatingDetails?CompanyId=0&amp;CompanyName=Maheshwari Coal Benefication &amp; Infrastructure Private Limited", "Rationale")</f>
        <v/>
      </c>
    </row>
    <row r="1295">
      <c r="A1295" s="0" t="s">
        <v>3194</v>
      </c>
      <c r="B1295" s="0" t="s">
        <v>3195</v>
      </c>
      <c r="C1295" s="0" t="s">
        <v>1009</v>
      </c>
      <c r="D1295" s="0">
        <f dt2D="0" dtr="0">HYPERLINK("https://www.icra.in/Rating/RatingDetails?CompanyId=0&amp;CompanyName=Maheshwari Structures", "Rationale")</f>
        <v/>
      </c>
    </row>
    <row r="1296">
      <c r="A1296" s="0" t="s">
        <v>3196</v>
      </c>
      <c r="B1296" s="0" t="s">
        <v>3197</v>
      </c>
      <c r="C1296" s="0" t="s">
        <v>3198</v>
      </c>
      <c r="D1296" s="0">
        <f dt2D="0" dtr="0">HYPERLINK("https://www.icra.in/Rating/RatingDetails?CompanyId=0&amp;CompanyName=Mahi Corporation Pvt. Ltd.", "Rationale")</f>
        <v/>
      </c>
    </row>
    <row r="1297">
      <c r="A1297" s="0" t="s">
        <v>3199</v>
      </c>
      <c r="B1297" s="0" t="s">
        <v>3200</v>
      </c>
      <c r="C1297" s="0" t="s">
        <v>39</v>
      </c>
      <c r="D1297" s="0">
        <f dt2D="0" dtr="0">HYPERLINK("https://www.icra.in/Rating/RatingDetails?CompanyId=0&amp;CompanyName=Mahi Formaline", "Rationale")</f>
        <v/>
      </c>
    </row>
    <row r="1298">
      <c r="A1298" s="0" t="s">
        <v>3201</v>
      </c>
      <c r="B1298" s="0" t="s">
        <v>3202</v>
      </c>
      <c r="C1298" s="0" t="s">
        <v>71</v>
      </c>
      <c r="D1298" s="0">
        <f dt2D="0" dtr="0">HYPERLINK("https://www.icra.in/Rating/RatingDetails?CompanyId=0&amp;CompanyName=Mahima Cold Storage Private Limited", "Rationale")</f>
        <v/>
      </c>
    </row>
    <row r="1299">
      <c r="A1299" s="0" t="s">
        <v>3203</v>
      </c>
      <c r="B1299" s="0" t="s">
        <v>3204</v>
      </c>
      <c r="C1299" s="0" t="s">
        <v>3205</v>
      </c>
      <c r="D1299" s="0">
        <f dt2D="0" dtr="0">HYPERLINK("https://www.icra.in/Rating/RatingDetails?CompanyId=0&amp;CompanyName=Mail Order Solutions (India) Private Limited", "Rationale")</f>
        <v/>
      </c>
    </row>
    <row r="1300">
      <c r="A1300" s="0" t="s">
        <v>3206</v>
      </c>
      <c r="B1300" s="0" t="s">
        <v>3207</v>
      </c>
      <c r="C1300" s="0" t="s">
        <v>958</v>
      </c>
      <c r="D1300" s="0">
        <f dt2D="0" dtr="0">HYPERLINK("https://www.icra.in/Rating/RatingDetails?CompanyId=0&amp;CompanyName=Maini Group of Educational Society", "Rationale")</f>
        <v/>
      </c>
    </row>
    <row r="1301">
      <c r="A1301" s="0" t="s">
        <v>3208</v>
      </c>
      <c r="B1301" s="0" t="s">
        <v>3209</v>
      </c>
      <c r="C1301" s="0" t="s">
        <v>1014</v>
      </c>
      <c r="D1301" s="0">
        <f dt2D="0" dtr="0">HYPERLINK("https://www.icra.in/Rating/RatingDetails?CompanyId=0&amp;CompanyName=Maithan Ispat Limited", "Rationale")</f>
        <v/>
      </c>
    </row>
    <row r="1302">
      <c r="A1302" s="0" t="s">
        <v>3210</v>
      </c>
      <c r="B1302" s="0" t="s">
        <v>3211</v>
      </c>
      <c r="C1302" s="0" t="s">
        <v>897</v>
      </c>
      <c r="D1302" s="0">
        <f dt2D="0" dtr="0">HYPERLINK("https://www.icra.in/Rating/RatingDetails?CompanyId=0&amp;CompanyName=Maithri Developers", "Rationale")</f>
        <v/>
      </c>
    </row>
    <row r="1303">
      <c r="A1303" s="0" t="s">
        <v>3212</v>
      </c>
      <c r="B1303" s="0" t="s">
        <v>3213</v>
      </c>
      <c r="C1303" s="0" t="s">
        <v>1335</v>
      </c>
      <c r="D1303" s="0">
        <f dt2D="0" dtr="0">HYPERLINK("https://www.icra.in/Rating/RatingDetails?CompanyId=0&amp;CompanyName=MAK Constructions", "Rationale")</f>
        <v/>
      </c>
    </row>
    <row r="1304">
      <c r="A1304" s="0" t="s">
        <v>3214</v>
      </c>
      <c r="B1304" s="0" t="s">
        <v>3215</v>
      </c>
      <c r="C1304" s="0" t="s">
        <v>1572</v>
      </c>
      <c r="D1304" s="0">
        <f dt2D="0" dtr="0">HYPERLINK("https://www.icra.in/Rating/RatingDetails?CompanyId=0&amp;CompanyName=Malankara Plantations Limited", "Rationale")</f>
        <v/>
      </c>
    </row>
    <row r="1305">
      <c r="A1305" s="0" t="s">
        <v>3216</v>
      </c>
      <c r="B1305" s="0" t="s">
        <v>3217</v>
      </c>
      <c r="C1305" s="0" t="s">
        <v>2986</v>
      </c>
      <c r="D1305" s="0">
        <f dt2D="0" dtr="0">HYPERLINK("https://www.icra.in/Rating/RatingDetails?CompanyId=0&amp;CompanyName=Malar Paper Mills Private Limited", "Rationale")</f>
        <v/>
      </c>
    </row>
    <row r="1306">
      <c r="A1306" s="0" t="s">
        <v>3218</v>
      </c>
      <c r="B1306" s="0" t="s">
        <v>3219</v>
      </c>
      <c r="C1306" s="0" t="s">
        <v>2787</v>
      </c>
      <c r="D1306" s="0">
        <f dt2D="0" dtr="0">HYPERLINK("https://www.icra.in/Rating/RatingDetails?CompanyId=0&amp;CompanyName=Malati Founders Private Limited", "Rationale")</f>
        <v/>
      </c>
    </row>
    <row r="1307">
      <c r="A1307" s="0" t="s">
        <v>3220</v>
      </c>
      <c r="B1307" s="0" t="s">
        <v>3221</v>
      </c>
      <c r="C1307" s="0" t="s">
        <v>3060</v>
      </c>
      <c r="D1307" s="0">
        <f dt2D="0" dtr="0">HYPERLINK("https://www.icra.in/Rating/RatingDetails?CompanyId=0&amp;CompanyName=Malhati Tea &amp; Industries Limited", "Rationale")</f>
        <v/>
      </c>
    </row>
    <row r="1308">
      <c r="A1308" s="0" t="s">
        <v>3222</v>
      </c>
      <c r="B1308" s="0" t="s">
        <v>3223</v>
      </c>
      <c r="C1308" s="0" t="s">
        <v>141</v>
      </c>
      <c r="D1308" s="0">
        <f dt2D="0" dtr="0">HYPERLINK("https://www.icra.in/Rating/RatingDetails?CompanyId=0&amp;CompanyName=Malik Motors Private Limited", "Rationale")</f>
        <v/>
      </c>
    </row>
    <row r="1309">
      <c r="A1309" s="0" t="s">
        <v>3224</v>
      </c>
      <c r="B1309" s="0" t="s">
        <v>3225</v>
      </c>
      <c r="C1309" s="0" t="s">
        <v>634</v>
      </c>
      <c r="D1309" s="0">
        <f dt2D="0" dtr="0">HYPERLINK("https://www.icra.in/Rating/RatingDetails?CompanyId=0&amp;CompanyName=Mallikarjuna Parboiled Binny Rice Mill", "Rationale")</f>
        <v/>
      </c>
    </row>
    <row r="1310">
      <c r="A1310" s="0" t="s">
        <v>3226</v>
      </c>
      <c r="B1310" s="0" t="s">
        <v>3227</v>
      </c>
      <c r="C1310" s="0" t="s">
        <v>3228</v>
      </c>
      <c r="D1310" s="0">
        <f dt2D="0" dtr="0">HYPERLINK("https://www.icra.in/Rating/RatingDetails?CompanyId=0&amp;CompanyName=Malwa Automobiles Private Limited", "Rationale")</f>
        <v/>
      </c>
    </row>
    <row r="1311">
      <c r="A1311" s="0" t="s">
        <v>3229</v>
      </c>
      <c r="B1311" s="0" t="s">
        <v>3230</v>
      </c>
      <c r="C1311" s="0" t="s">
        <v>3228</v>
      </c>
      <c r="D1311" s="0">
        <f dt2D="0" dtr="0">HYPERLINK("https://www.icra.in/Rating/RatingDetails?CompanyId=0&amp;CompanyName=Malwa Automotives Pvt. Ltd.", "Rationale")</f>
        <v/>
      </c>
    </row>
    <row r="1312">
      <c r="A1312" s="0" t="s">
        <v>3231</v>
      </c>
      <c r="B1312" s="0" t="s">
        <v>3232</v>
      </c>
      <c r="C1312" s="0" t="s">
        <v>547</v>
      </c>
      <c r="D1312" s="0">
        <f dt2D="0" dtr="0">HYPERLINK("https://www.icra.in/Rating/RatingDetails?CompanyId=0&amp;CompanyName=Mamta Transformers P Ltd", "Rationale")</f>
        <v/>
      </c>
    </row>
    <row r="1313">
      <c r="A1313" s="0" t="s">
        <v>3233</v>
      </c>
      <c r="B1313" s="0" t="s">
        <v>3234</v>
      </c>
      <c r="C1313" s="0" t="s">
        <v>2807</v>
      </c>
      <c r="D1313" s="0">
        <f dt2D="0" dtr="0">HYPERLINK("https://www.icra.in/Rating/RatingDetails?CompanyId=0&amp;CompanyName=Mandalia Overseas Corporation", "Rationale")</f>
        <v/>
      </c>
    </row>
    <row r="1314">
      <c r="A1314" s="0" t="s">
        <v>3235</v>
      </c>
      <c r="B1314" s="0" t="s">
        <v>3236</v>
      </c>
      <c r="C1314" s="0" t="s">
        <v>1111</v>
      </c>
      <c r="D1314" s="0">
        <f dt2D="0" dtr="0">HYPERLINK("https://www.icra.in/Rating/RatingDetails?CompanyId=0&amp;CompanyName=Mandar Roller Flour Mills Pvt Ltd", "Rationale")</f>
        <v/>
      </c>
    </row>
    <row r="1315">
      <c r="A1315" s="0" t="s">
        <v>3237</v>
      </c>
      <c r="B1315" s="0" t="s">
        <v>3238</v>
      </c>
      <c r="C1315" s="0" t="s">
        <v>583</v>
      </c>
      <c r="D1315" s="0">
        <f dt2D="0" dtr="0">HYPERLINK("https://www.icra.in/Rating/RatingDetails?CompanyId=0&amp;CompanyName=Mandeep Industries", "Rationale")</f>
        <v/>
      </c>
    </row>
    <row r="1316">
      <c r="A1316" s="0" t="s">
        <v>3239</v>
      </c>
      <c r="B1316" s="0" t="s">
        <v>3240</v>
      </c>
      <c r="C1316" s="0" t="s">
        <v>1753</v>
      </c>
      <c r="D1316" s="0">
        <f dt2D="0" dtr="0">HYPERLINK("https://www.icra.in/Rating/RatingDetails?CompanyId=0&amp;CompanyName=Mangal Sponge And Steel Private Limited", "Rationale")</f>
        <v/>
      </c>
    </row>
    <row r="1317">
      <c r="A1317" s="0" t="s">
        <v>3241</v>
      </c>
      <c r="B1317" s="0" t="s">
        <v>3242</v>
      </c>
      <c r="C1317" s="0" t="s">
        <v>71</v>
      </c>
      <c r="D1317" s="0">
        <f dt2D="0" dtr="0">HYPERLINK("https://www.icra.in/Rating/RatingDetails?CompanyId=0&amp;CompanyName=Mangalam Metals &amp; Ores Limited", "Rationale")</f>
        <v/>
      </c>
    </row>
    <row r="1318">
      <c r="A1318" s="0" t="s">
        <v>3243</v>
      </c>
      <c r="B1318" s="0" t="s">
        <v>3244</v>
      </c>
      <c r="C1318" s="0" t="s">
        <v>220</v>
      </c>
      <c r="D1318" s="0">
        <f dt2D="0" dtr="0">HYPERLINK("https://www.icra.in/Rating/RatingDetails?CompanyId=0&amp;CompanyName=Mangalam Pipes Pvt Ltd", "Rationale")</f>
        <v/>
      </c>
    </row>
    <row r="1319">
      <c r="A1319" s="0" t="s">
        <v>3245</v>
      </c>
      <c r="B1319" s="0" t="s">
        <v>3246</v>
      </c>
      <c r="C1319" s="0" t="s">
        <v>71</v>
      </c>
      <c r="D1319" s="0">
        <f dt2D="0" dtr="0">HYPERLINK("https://www.icra.in/Rating/RatingDetails?CompanyId=0&amp;CompanyName=Mangalam Rice Mill Pvt Ltd", "Rationale")</f>
        <v/>
      </c>
    </row>
    <row r="1320">
      <c r="A1320" s="0" t="s">
        <v>3247</v>
      </c>
      <c r="B1320" s="0" t="s">
        <v>3248</v>
      </c>
      <c r="C1320" s="0" t="s">
        <v>1461</v>
      </c>
      <c r="D1320" s="0">
        <f dt2D="0" dtr="0">HYPERLINK("https://www.icra.in/Rating/RatingDetails?CompanyId=0&amp;CompanyName=Mangaldeep Cold Storage", "Rationale")</f>
        <v/>
      </c>
    </row>
    <row r="1321">
      <c r="A1321" s="0" t="s">
        <v>3249</v>
      </c>
      <c r="B1321" s="0" t="s">
        <v>3250</v>
      </c>
      <c r="C1321" s="0" t="s">
        <v>3251</v>
      </c>
      <c r="D1321" s="0">
        <f dt2D="0" dtr="0">HYPERLINK("https://www.icra.in/Rating/RatingDetails?CompanyId=0&amp;CompanyName=Mangalmurti Bio-Chem Private Limited", "Rationale")</f>
        <v/>
      </c>
    </row>
    <row r="1322">
      <c r="A1322" s="0" t="s">
        <v>3252</v>
      </c>
      <c r="B1322" s="0" t="s">
        <v>3253</v>
      </c>
      <c r="C1322" s="0" t="s">
        <v>1222</v>
      </c>
      <c r="D1322" s="0">
        <f dt2D="0" dtr="0">HYPERLINK("https://www.icra.in/Rating/RatingDetails?CompanyId=0&amp;CompanyName=Mangalore Cashew Industries", "Rationale")</f>
        <v/>
      </c>
    </row>
    <row r="1323">
      <c r="A1323" s="0" t="s">
        <v>3254</v>
      </c>
      <c r="B1323" s="0" t="s">
        <v>3255</v>
      </c>
      <c r="C1323" s="0" t="s">
        <v>3256</v>
      </c>
      <c r="D1323" s="0">
        <f dt2D="0" dtr="0">HYPERLINK("https://www.icra.in/Rating/RatingDetails?CompanyId=0&amp;CompanyName=Mangalore Sea Products", "Rationale")</f>
        <v/>
      </c>
    </row>
    <row r="1324">
      <c r="A1324" s="0" t="s">
        <v>3257</v>
      </c>
      <c r="B1324" s="0" t="s">
        <v>3258</v>
      </c>
      <c r="C1324" s="0" t="s">
        <v>165</v>
      </c>
      <c r="D1324" s="0">
        <f dt2D="0" dtr="0">HYPERLINK("https://www.icra.in/Rating/RatingDetails?CompanyId=0&amp;CompanyName=Mangilal Agarwal", "Rationale")</f>
        <v/>
      </c>
    </row>
    <row r="1325">
      <c r="A1325" s="0" t="s">
        <v>3259</v>
      </c>
      <c r="B1325" s="0" t="s">
        <v>3260</v>
      </c>
      <c r="C1325" s="0" t="s">
        <v>71</v>
      </c>
      <c r="D1325" s="0">
        <f dt2D="0" dtr="0">HYPERLINK("https://www.icra.in/Rating/RatingDetails?CompanyId=0&amp;CompanyName=Manickbag Automobiles Pvt Ltd", "Rationale")</f>
        <v/>
      </c>
    </row>
    <row r="1326">
      <c r="A1326" s="0" t="s">
        <v>3261</v>
      </c>
      <c r="B1326" s="0" t="s">
        <v>3262</v>
      </c>
      <c r="C1326" s="0" t="s">
        <v>1403</v>
      </c>
      <c r="D1326" s="0">
        <f dt2D="0" dtr="0">HYPERLINK("https://www.icra.in/Rating/RatingDetails?CompanyId=0&amp;CompanyName=Manikanta Cotton Agro Industries", "Rationale")</f>
        <v/>
      </c>
    </row>
    <row r="1327">
      <c r="A1327" s="0" t="s">
        <v>3263</v>
      </c>
      <c r="B1327" s="0" t="s">
        <v>3264</v>
      </c>
      <c r="C1327" s="0" t="s">
        <v>3265</v>
      </c>
      <c r="D1327" s="0">
        <f dt2D="0" dtr="0">HYPERLINK("https://www.icra.in/Rating/RatingDetails?CompanyId=0&amp;CompanyName=Manipal Academic Services International", "Rationale")</f>
        <v/>
      </c>
    </row>
    <row r="1328">
      <c r="A1328" s="0" t="s">
        <v>3266</v>
      </c>
      <c r="B1328" s="0" t="s">
        <v>3267</v>
      </c>
      <c r="C1328" s="0" t="s">
        <v>3268</v>
      </c>
      <c r="D1328" s="0">
        <f dt2D="0" dtr="0">HYPERLINK("https://www.icra.in/Rating/RatingDetails?CompanyId=0&amp;CompanyName=Manisha Construction Co.", "Rationale")</f>
        <v/>
      </c>
    </row>
    <row r="1329">
      <c r="A1329" s="0" t="s">
        <v>3269</v>
      </c>
      <c r="B1329" s="0" t="s">
        <v>3270</v>
      </c>
      <c r="C1329" s="0" t="s">
        <v>3271</v>
      </c>
      <c r="D1329" s="0">
        <f dt2D="0" dtr="0">HYPERLINK("https://www.icra.in/Rating/RatingDetails?CompanyId=0&amp;CompanyName=Manishri Refractories &amp; Ceramics Pvt. Ltd.", "Rationale")</f>
        <v/>
      </c>
    </row>
    <row r="1330">
      <c r="A1330" s="0" t="s">
        <v>3272</v>
      </c>
      <c r="B1330" s="0" t="s">
        <v>3273</v>
      </c>
      <c r="C1330" s="0" t="s">
        <v>2101</v>
      </c>
      <c r="D1330" s="0">
        <f dt2D="0" dtr="0">HYPERLINK("https://www.icra.in/Rating/RatingDetails?CompanyId=0&amp;CompanyName=Manju Shree Syntex Private Limited", "Rationale")</f>
        <v/>
      </c>
    </row>
    <row r="1331">
      <c r="A1331" s="0" t="s">
        <v>3274</v>
      </c>
      <c r="B1331" s="0" t="s">
        <v>3275</v>
      </c>
      <c r="C1331" s="0" t="s">
        <v>773</v>
      </c>
      <c r="D1331" s="0">
        <f dt2D="0" dtr="0">HYPERLINK("https://www.icra.in/Rating/RatingDetails?CompanyId=0&amp;CompanyName=Manmatha Nath Kundu &amp; Sons Construction Co. Pvt. Ltd.", "Rationale")</f>
        <v/>
      </c>
    </row>
    <row r="1332">
      <c r="A1332" s="0" t="s">
        <v>3276</v>
      </c>
      <c r="B1332" s="0" t="s">
        <v>3277</v>
      </c>
      <c r="C1332" s="0" t="s">
        <v>121</v>
      </c>
      <c r="D1332" s="0">
        <f dt2D="0" dtr="0">HYPERLINK("https://www.icra.in/Rating/RatingDetails?CompanyId=0&amp;CompanyName=Manmeet Alloys Private Limited", "Rationale")</f>
        <v/>
      </c>
    </row>
    <row r="1333">
      <c r="A1333" s="0" t="s">
        <v>3278</v>
      </c>
      <c r="B1333" s="0" t="s">
        <v>3279</v>
      </c>
      <c r="C1333" s="0" t="s">
        <v>997</v>
      </c>
      <c r="D1333" s="0">
        <f dt2D="0" dtr="0">HYPERLINK("https://www.icra.in/Rating/RatingDetails?CompanyId=0&amp;CompanyName=Mann Mediciti Wellness Centre Private Limited", "Rationale")</f>
        <v/>
      </c>
    </row>
    <row r="1334">
      <c r="A1334" s="0" t="s">
        <v>3280</v>
      </c>
      <c r="B1334" s="0" t="s">
        <v>3281</v>
      </c>
      <c r="C1334" s="0" t="s">
        <v>103</v>
      </c>
      <c r="D1334" s="0">
        <f dt2D="0" dtr="0">HYPERLINK("https://www.icra.in/Rating/RatingDetails?CompanyId=0&amp;CompanyName=Mansa Devi Rice Mills", "Rationale")</f>
        <v/>
      </c>
    </row>
    <row r="1335">
      <c r="A1335" s="0" t="s">
        <v>3282</v>
      </c>
      <c r="B1335" s="0" t="s">
        <v>3283</v>
      </c>
      <c r="C1335" s="0" t="s">
        <v>3284</v>
      </c>
      <c r="D1335" s="0">
        <f dt2D="0" dtr="0">HYPERLINK("https://www.icra.in/Rating/RatingDetails?CompanyId=0&amp;CompanyName=Mantra Packaging Private Limited", "Rationale")</f>
        <v/>
      </c>
    </row>
    <row r="1336">
      <c r="A1336" s="0" t="s">
        <v>3285</v>
      </c>
      <c r="B1336" s="0" t="s">
        <v>3286</v>
      </c>
      <c r="C1336" s="0" t="s">
        <v>3287</v>
      </c>
      <c r="D1336" s="0">
        <f dt2D="0" dtr="0">HYPERLINK("https://www.icra.in/Rating/RatingDetails?CompanyId=0&amp;CompanyName=Manubhai Mangaldas Securities Pvt Ltd", "Rationale")</f>
        <v/>
      </c>
    </row>
    <row r="1337">
      <c r="A1337" s="0" t="s">
        <v>3288</v>
      </c>
      <c r="B1337" s="0" t="s">
        <v>3289</v>
      </c>
      <c r="C1337" s="0" t="s">
        <v>2853</v>
      </c>
      <c r="D1337" s="0">
        <f dt2D="0" dtr="0">HYPERLINK("https://www.icra.in/Rating/RatingDetails?CompanyId=0&amp;CompanyName=Marbilano Tiles Llp", "Rationale")</f>
        <v/>
      </c>
    </row>
    <row r="1338">
      <c r="A1338" s="0" t="s">
        <v>3290</v>
      </c>
      <c r="B1338" s="0" t="s">
        <v>3291</v>
      </c>
      <c r="C1338" s="0" t="s">
        <v>1062</v>
      </c>
      <c r="D1338" s="0">
        <f dt2D="0" dtr="0">HYPERLINK("https://www.icra.in/Rating/RatingDetails?CompanyId=0&amp;CompanyName=Marc Laboratories Limited", "Rationale")</f>
        <v/>
      </c>
    </row>
    <row r="1339">
      <c r="A1339" s="0" t="s">
        <v>3292</v>
      </c>
      <c r="B1339" s="0" t="s">
        <v>3293</v>
      </c>
      <c r="C1339" s="0" t="s">
        <v>1734</v>
      </c>
      <c r="D1339" s="0">
        <f dt2D="0" dtr="0">HYPERLINK("https://www.icra.in/Rating/RatingDetails?CompanyId=0&amp;CompanyName=Marian Projects Private Limited", "Rationale")</f>
        <v/>
      </c>
    </row>
    <row r="1340">
      <c r="A1340" s="0" t="s">
        <v>3294</v>
      </c>
      <c r="B1340" s="0" t="s">
        <v>3295</v>
      </c>
      <c r="C1340" s="0" t="s">
        <v>3284</v>
      </c>
      <c r="D1340" s="0">
        <f dt2D="0" dtr="0">HYPERLINK("https://www.icra.in/Rating/RatingDetails?CompanyId=0&amp;CompanyName=Marianella Properties Private Limited", "Rationale")</f>
        <v/>
      </c>
    </row>
    <row r="1341">
      <c r="A1341" s="0" t="s">
        <v>3296</v>
      </c>
      <c r="B1341" s="0" t="s">
        <v>3297</v>
      </c>
      <c r="C1341" s="0" t="s">
        <v>71</v>
      </c>
      <c r="D1341" s="0">
        <f dt2D="0" dtr="0">HYPERLINK("https://www.icra.in/Rating/RatingDetails?CompanyId=0&amp;CompanyName=Marigold Paints Pvt. Ltd.", "Rationale")</f>
        <v/>
      </c>
    </row>
    <row r="1342">
      <c r="A1342" s="0" t="s">
        <v>3298</v>
      </c>
      <c r="B1342" s="0" t="s">
        <v>3299</v>
      </c>
      <c r="C1342" s="0" t="s">
        <v>71</v>
      </c>
      <c r="D1342" s="0">
        <f dt2D="0" dtr="0">HYPERLINK("https://www.icra.in/Rating/RatingDetails?CompanyId=0&amp;CompanyName=Marinelines Ship Breakers Private Limited", "Rationale")</f>
        <v/>
      </c>
    </row>
    <row r="1343">
      <c r="A1343" s="0" t="s">
        <v>3300</v>
      </c>
      <c r="B1343" s="0" t="s">
        <v>3301</v>
      </c>
      <c r="C1343" s="0" t="s">
        <v>971</v>
      </c>
      <c r="D1343" s="0">
        <f dt2D="0" dtr="0">HYPERLINK("https://www.icra.in/Rating/RatingDetails?CompanyId=0&amp;CompanyName=Marks Engineering Works", "Rationale")</f>
        <v/>
      </c>
    </row>
    <row r="1344">
      <c r="A1344" s="0" t="s">
        <v>3302</v>
      </c>
      <c r="B1344" s="0" t="s">
        <v>3303</v>
      </c>
      <c r="C1344" s="0" t="s">
        <v>679</v>
      </c>
      <c r="D1344" s="0">
        <f dt2D="0" dtr="0">HYPERLINK("https://www.icra.in/Rating/RatingDetails?CompanyId=0&amp;CompanyName=Marudhara Polypack Private Limited", "Rationale")</f>
        <v/>
      </c>
    </row>
    <row r="1345">
      <c r="A1345" s="0" t="s">
        <v>3304</v>
      </c>
      <c r="B1345" s="0" t="s">
        <v>3305</v>
      </c>
      <c r="C1345" s="0" t="s">
        <v>146</v>
      </c>
      <c r="D1345" s="0">
        <f dt2D="0" dtr="0">HYPERLINK("https://www.icra.in/Rating/RatingDetails?CompanyId=0&amp;CompanyName=Maruti Cotton Industries", "Rationale")</f>
        <v/>
      </c>
    </row>
    <row r="1346">
      <c r="A1346" s="0" t="s">
        <v>3306</v>
      </c>
      <c r="B1346" s="0" t="s">
        <v>3307</v>
      </c>
      <c r="C1346" s="0" t="s">
        <v>492</v>
      </c>
      <c r="D1346" s="0">
        <f dt2D="0" dtr="0">HYPERLINK("https://www.icra.in/Rating/RatingDetails?CompanyId=0&amp;CompanyName=Maruti Meditech Private Limited", "Rationale")</f>
        <v/>
      </c>
    </row>
    <row r="1347">
      <c r="A1347" s="0" t="s">
        <v>3308</v>
      </c>
      <c r="B1347" s="0" t="s">
        <v>3309</v>
      </c>
      <c r="C1347" s="0" t="s">
        <v>1131</v>
      </c>
      <c r="D1347" s="0">
        <f dt2D="0" dtr="0">HYPERLINK("https://www.icra.in/Rating/RatingDetails?CompanyId=0&amp;CompanyName=Maruti Nouveauknits Private Limited", "Rationale")</f>
        <v/>
      </c>
    </row>
    <row r="1348">
      <c r="A1348" s="0" t="s">
        <v>3310</v>
      </c>
      <c r="B1348" s="0" t="s">
        <v>3311</v>
      </c>
      <c r="C1348" s="0" t="s">
        <v>402</v>
      </c>
      <c r="D1348" s="0">
        <f dt2D="0" dtr="0">HYPERLINK("https://www.icra.in/Rating/RatingDetails?CompanyId=0&amp;CompanyName=Maruti Products Private Limited", "Rationale")</f>
        <v/>
      </c>
    </row>
    <row r="1349">
      <c r="A1349" s="0" t="s">
        <v>3312</v>
      </c>
      <c r="B1349" s="0" t="s">
        <v>3313</v>
      </c>
      <c r="C1349" s="0" t="s">
        <v>2096</v>
      </c>
      <c r="D1349" s="0">
        <f dt2D="0" dtr="0">HYPERLINK("https://www.icra.in/Rating/RatingDetails?CompanyId=0&amp;CompanyName=Marvel Dyers and Processors Private Limited", "Rationale")</f>
        <v/>
      </c>
    </row>
    <row r="1350">
      <c r="A1350" s="0" t="s">
        <v>3314</v>
      </c>
      <c r="B1350" s="0" t="s">
        <v>3315</v>
      </c>
      <c r="C1350" s="0" t="s">
        <v>2822</v>
      </c>
      <c r="D1350" s="0">
        <f dt2D="0" dtr="0">HYPERLINK("https://www.icra.in/Rating/RatingDetails?CompanyId=0&amp;CompanyName=Mass Cashews", "Rationale")</f>
        <v/>
      </c>
    </row>
    <row r="1351">
      <c r="A1351" s="0" t="s">
        <v>3316</v>
      </c>
      <c r="B1351" s="0" t="s">
        <v>3317</v>
      </c>
      <c r="C1351" s="0" t="s">
        <v>3318</v>
      </c>
      <c r="D1351" s="0">
        <f dt2D="0" dtr="0">HYPERLINK("https://www.icra.in/Rating/RatingDetails?CompanyId=0&amp;CompanyName=Master Blenders Private Limited", "Rationale")</f>
        <v/>
      </c>
    </row>
    <row r="1352">
      <c r="A1352" s="0" t="s">
        <v>3319</v>
      </c>
      <c r="B1352" s="0" t="s">
        <v>3320</v>
      </c>
      <c r="C1352" s="0" t="s">
        <v>71</v>
      </c>
      <c r="D1352" s="0">
        <f dt2D="0" dtr="0">HYPERLINK("https://www.icra.in/Rating/RatingDetails?CompanyId=0&amp;CompanyName=Mateshwari Food Stuff Private Limited", "Rationale")</f>
        <v/>
      </c>
    </row>
    <row r="1353">
      <c r="A1353" s="0" t="s">
        <v>3321</v>
      </c>
      <c r="B1353" s="0" t="s">
        <v>3322</v>
      </c>
      <c r="C1353" s="0" t="s">
        <v>3323</v>
      </c>
      <c r="D1353" s="0">
        <f dt2D="0" dtr="0">HYPERLINK("https://www.icra.in/Rating/RatingDetails?CompanyId=0&amp;CompanyName=Mateswari Royalties", "Rationale")</f>
        <v/>
      </c>
    </row>
    <row r="1354">
      <c r="A1354" s="0" t="s">
        <v>3324</v>
      </c>
      <c r="B1354" s="0" t="s">
        <v>3325</v>
      </c>
      <c r="C1354" s="0" t="s">
        <v>223</v>
      </c>
      <c r="D1354" s="0">
        <f dt2D="0" dtr="0">HYPERLINK("https://www.icra.in/Rating/RatingDetails?CompanyId=0&amp;CompanyName=Mathiyan Construction Private Limited", "Rationale")</f>
        <v/>
      </c>
    </row>
    <row r="1355">
      <c r="A1355" s="0" t="s">
        <v>3326</v>
      </c>
      <c r="B1355" s="0" t="s">
        <v>3327</v>
      </c>
      <c r="C1355" s="0" t="s">
        <v>816</v>
      </c>
      <c r="D1355" s="0">
        <f dt2D="0" dtr="0">HYPERLINK("https://www.icra.in/Rating/RatingDetails?CompanyId=0&amp;CompanyName=Mathuram Swastha Evam Shikshan Sansthan", "Rationale")</f>
        <v/>
      </c>
    </row>
    <row r="1356">
      <c r="A1356" s="0" t="s">
        <v>3328</v>
      </c>
      <c r="B1356" s="0" t="s">
        <v>3329</v>
      </c>
      <c r="C1356" s="0" t="s">
        <v>65</v>
      </c>
      <c r="D1356" s="0">
        <f dt2D="0" dtr="0">HYPERLINK("https://www.icra.in/Rating/RatingDetails?CompanyId=0&amp;CompanyName=Matoshri Laxmi Sugar Co-Generation Industries Limited", "Rationale")</f>
        <v/>
      </c>
    </row>
    <row r="1357">
      <c r="A1357" s="0" t="s">
        <v>3330</v>
      </c>
      <c r="B1357" s="0" t="s">
        <v>3331</v>
      </c>
      <c r="C1357" s="0" t="s">
        <v>457</v>
      </c>
      <c r="D1357" s="0">
        <f dt2D="0" dtr="0">HYPERLINK("https://www.icra.in/Rating/RatingDetails?CompanyId=0&amp;CompanyName=Matrix Ceramic", "Rationale")</f>
        <v/>
      </c>
    </row>
    <row r="1358">
      <c r="A1358" s="0" t="s">
        <v>3332</v>
      </c>
      <c r="B1358" s="0" t="s">
        <v>3333</v>
      </c>
      <c r="C1358" s="0" t="s">
        <v>168</v>
      </c>
      <c r="D1358" s="0">
        <f dt2D="0" dtr="0">HYPERLINK("https://www.icra.in/Rating/RatingDetails?CompanyId=0&amp;CompanyName=Matrix Enclaves Projects Developments Private Limited", "Rationale")</f>
        <v/>
      </c>
    </row>
    <row r="1359">
      <c r="A1359" s="0" t="s">
        <v>3334</v>
      </c>
      <c r="B1359" s="0" t="s">
        <v>3335</v>
      </c>
      <c r="C1359" s="0" t="s">
        <v>897</v>
      </c>
      <c r="D1359" s="0">
        <f dt2D="0" dtr="0">HYPERLINK("https://www.icra.in/Rating/RatingDetails?CompanyId=0&amp;CompanyName=Mauli Fresh Agro Industries Private Limited", "Rationale")</f>
        <v/>
      </c>
    </row>
    <row r="1360">
      <c r="A1360" s="0" t="s">
        <v>3336</v>
      </c>
      <c r="B1360" s="0" t="s">
        <v>3337</v>
      </c>
      <c r="C1360" s="0" t="s">
        <v>3338</v>
      </c>
      <c r="D1360" s="0">
        <f dt2D="0" dtr="0">HYPERLINK("https://www.icra.in/Rating/RatingDetails?CompanyId=0&amp;CompanyName=Mavani Construction", "Rationale")</f>
        <v/>
      </c>
    </row>
    <row r="1361">
      <c r="A1361" s="0" t="s">
        <v>3339</v>
      </c>
      <c r="B1361" s="0" t="s">
        <v>3340</v>
      </c>
      <c r="C1361" s="0" t="s">
        <v>497</v>
      </c>
      <c r="D1361" s="0">
        <f dt2D="0" dtr="0">HYPERLINK("https://www.icra.in/Rating/RatingDetails?CompanyId=0&amp;CompanyName=Max Properties Private Limited", "Rationale")</f>
        <v/>
      </c>
    </row>
    <row r="1362">
      <c r="A1362" s="0" t="s">
        <v>3341</v>
      </c>
      <c r="B1362" s="0" t="s">
        <v>3342</v>
      </c>
      <c r="C1362" s="0" t="s">
        <v>71</v>
      </c>
      <c r="D1362" s="0">
        <f dt2D="0" dtr="0">HYPERLINK("https://www.icra.in/Rating/RatingDetails?CompanyId=0&amp;CompanyName=Maxworth Plywoods Private Limited", "Rationale")</f>
        <v/>
      </c>
    </row>
    <row r="1363">
      <c r="A1363" s="0" t="s">
        <v>3343</v>
      </c>
      <c r="B1363" s="0" t="s">
        <v>3344</v>
      </c>
      <c r="C1363" s="0" t="s">
        <v>3345</v>
      </c>
      <c r="D1363" s="0">
        <f dt2D="0" dtr="0">HYPERLINK("https://www.icra.in/Rating/RatingDetails?CompanyId=0&amp;CompanyName=Mbc Infra-Space Pvt. Ltd.", "Rationale")</f>
        <v/>
      </c>
    </row>
    <row r="1364">
      <c r="A1364" s="0" t="s">
        <v>3346</v>
      </c>
      <c r="B1364" s="0" t="s">
        <v>3347</v>
      </c>
      <c r="C1364" s="0" t="s">
        <v>71</v>
      </c>
      <c r="D1364" s="0">
        <f dt2D="0" dtr="0">HYPERLINK("https://www.icra.in/Rating/RatingDetails?CompanyId=0&amp;CompanyName=MBM ENGINEERING INFOTECH LIMITED", "Rationale")</f>
        <v/>
      </c>
    </row>
    <row r="1365">
      <c r="A1365" s="0" t="s">
        <v>3348</v>
      </c>
      <c r="B1365" s="0" t="s">
        <v>3349</v>
      </c>
      <c r="C1365" s="0" t="s">
        <v>2443</v>
      </c>
      <c r="D1365" s="0">
        <f dt2D="0" dtr="0">HYPERLINK("https://www.icra.in/Rating/RatingDetails?CompanyId=0&amp;CompanyName=Mbr Flexibles Limited", "Rationale")</f>
        <v/>
      </c>
    </row>
    <row r="1366">
      <c r="A1366" s="0" t="s">
        <v>3350</v>
      </c>
      <c r="B1366" s="0" t="s">
        <v>3351</v>
      </c>
      <c r="C1366" s="0" t="s">
        <v>50</v>
      </c>
      <c r="D1366" s="0">
        <f dt2D="0" dtr="0">HYPERLINK("https://www.icra.in/Rating/RatingDetails?CompanyId=0&amp;CompanyName=Mcleod Russel India Limited", "Rationale")</f>
        <v/>
      </c>
    </row>
    <row r="1367">
      <c r="A1367" s="0" t="s">
        <v>3352</v>
      </c>
      <c r="B1367" s="0" t="s">
        <v>3353</v>
      </c>
      <c r="C1367" s="0" t="s">
        <v>2046</v>
      </c>
      <c r="D1367" s="0">
        <f dt2D="0" dtr="0">HYPERLINK("https://www.icra.in/Rating/RatingDetails?CompanyId=0&amp;CompanyName=MCON Rasayan Private Limited", "Rationale")</f>
        <v/>
      </c>
    </row>
    <row r="1368">
      <c r="A1368" s="0" t="s">
        <v>3354</v>
      </c>
      <c r="B1368" s="0" t="s">
        <v>3355</v>
      </c>
      <c r="C1368" s="0" t="s">
        <v>74</v>
      </c>
      <c r="D1368" s="0">
        <f dt2D="0" dtr="0">HYPERLINK("https://www.icra.in/Rating/RatingDetails?CompanyId=0&amp;CompanyName=MDA Mineral Dhatu (AP) Private Limited", "Rationale")</f>
        <v/>
      </c>
    </row>
    <row r="1369">
      <c r="A1369" s="0" t="s">
        <v>3356</v>
      </c>
      <c r="B1369" s="0" t="s">
        <v>3357</v>
      </c>
      <c r="C1369" s="0" t="s">
        <v>2571</v>
      </c>
      <c r="D1369" s="0">
        <f dt2D="0" dtr="0">HYPERLINK("https://www.icra.in/Rating/RatingDetails?CompanyId=0&amp;CompanyName=Mear Logistics LLP", "Rationale")</f>
        <v/>
      </c>
    </row>
    <row r="1370">
      <c r="A1370" s="0" t="s">
        <v>3358</v>
      </c>
      <c r="B1370" s="0" t="s">
        <v>3359</v>
      </c>
      <c r="C1370" s="0" t="s">
        <v>71</v>
      </c>
      <c r="D1370" s="0">
        <f dt2D="0" dtr="0">HYPERLINK("https://www.icra.in/Rating/RatingDetails?CompanyId=0&amp;CompanyName=Meena Advertisers", "Rationale")</f>
        <v/>
      </c>
    </row>
    <row r="1371">
      <c r="A1371" s="0" t="s">
        <v>3360</v>
      </c>
      <c r="B1371" s="0" t="s">
        <v>3361</v>
      </c>
      <c r="C1371" s="0" t="s">
        <v>3083</v>
      </c>
      <c r="D1371" s="0">
        <f dt2D="0" dtr="0">HYPERLINK("https://www.icra.in/Rating/RatingDetails?CompanyId=0&amp;CompanyName=Meenamani Real Venture Llp", "Rationale")</f>
        <v/>
      </c>
    </row>
    <row r="1372">
      <c r="A1372" s="0" t="s">
        <v>3362</v>
      </c>
      <c r="B1372" s="0" t="s">
        <v>3363</v>
      </c>
      <c r="C1372" s="0" t="s">
        <v>71</v>
      </c>
      <c r="D1372" s="0">
        <f dt2D="0" dtr="0">HYPERLINK("https://www.icra.in/Rating/RatingDetails?CompanyId=0&amp;CompanyName=Meenar Industries Limited", "Rationale")</f>
        <v/>
      </c>
    </row>
    <row r="1373">
      <c r="A1373" s="0" t="s">
        <v>3364</v>
      </c>
      <c r="B1373" s="0" t="s">
        <v>3365</v>
      </c>
      <c r="C1373" s="0" t="s">
        <v>71</v>
      </c>
      <c r="D1373" s="0">
        <f dt2D="0" dtr="0">HYPERLINK("https://www.icra.in/Rating/RatingDetails?CompanyId=0&amp;CompanyName=Meenar Polydyed Yarns Limited", "Rationale")</f>
        <v/>
      </c>
    </row>
    <row r="1374">
      <c r="A1374" s="0" t="s">
        <v>3366</v>
      </c>
      <c r="B1374" s="0" t="s">
        <v>3367</v>
      </c>
      <c r="C1374" s="0" t="s">
        <v>59</v>
      </c>
      <c r="D1374" s="0">
        <f dt2D="0" dtr="0">HYPERLINK("https://www.icra.in/Rating/RatingDetails?CompanyId=0&amp;CompanyName=Meenaxi Exports", "Rationale")</f>
        <v/>
      </c>
    </row>
    <row r="1375">
      <c r="A1375" s="0" t="s">
        <v>3368</v>
      </c>
      <c r="B1375" s="0" t="s">
        <v>3369</v>
      </c>
      <c r="C1375" s="0" t="s">
        <v>983</v>
      </c>
      <c r="D1375" s="0">
        <f dt2D="0" dtr="0">HYPERLINK("https://www.icra.in/Rating/RatingDetails?CompanyId=0&amp;CompanyName=Meera and Company Limited", "Rationale")</f>
        <v/>
      </c>
    </row>
    <row r="1376">
      <c r="A1376" s="0" t="s">
        <v>3370</v>
      </c>
      <c r="B1376" s="0" t="s">
        <v>3371</v>
      </c>
      <c r="C1376" s="0" t="s">
        <v>71</v>
      </c>
      <c r="D1376" s="0">
        <f dt2D="0" dtr="0">HYPERLINK("https://www.icra.in/Rating/RatingDetails?CompanyId=0&amp;CompanyName=Meera Casting", "Rationale")</f>
        <v/>
      </c>
    </row>
    <row r="1377">
      <c r="A1377" s="0" t="s">
        <v>3372</v>
      </c>
      <c r="B1377" s="0" t="s">
        <v>3373</v>
      </c>
      <c r="C1377" s="0" t="s">
        <v>588</v>
      </c>
      <c r="D1377" s="0">
        <f dt2D="0" dtr="0">HYPERLINK("https://www.icra.in/Rating/RatingDetails?CompanyId=0&amp;CompanyName=Meerpet Municipal Corporation", "Rationale")</f>
        <v/>
      </c>
    </row>
    <row r="1378">
      <c r="A1378" s="0" t="s">
        <v>3374</v>
      </c>
      <c r="B1378" s="0" t="s">
        <v>3375</v>
      </c>
      <c r="C1378" s="0" t="s">
        <v>3376</v>
      </c>
      <c r="D1378" s="0">
        <f dt2D="0" dtr="0">HYPERLINK("https://www.icra.in/Rating/RatingDetails?CompanyId=0&amp;CompanyName=Megha Marketing", "Rationale")</f>
        <v/>
      </c>
    </row>
    <row r="1379">
      <c r="A1379" s="0" t="s">
        <v>3377</v>
      </c>
      <c r="B1379" s="0" t="s">
        <v>3378</v>
      </c>
      <c r="C1379" s="0" t="s">
        <v>1941</v>
      </c>
      <c r="D1379" s="0">
        <f dt2D="0" dtr="0">HYPERLINK("https://www.icra.in/Rating/RatingDetails?CompanyId=0&amp;CompanyName=Meghdoot Ginning &amp; Pressing Industries Private Limited", "Rationale")</f>
        <v/>
      </c>
    </row>
    <row r="1380">
      <c r="A1380" s="0" t="s">
        <v>3379</v>
      </c>
      <c r="B1380" s="0" t="s">
        <v>3380</v>
      </c>
      <c r="C1380" s="0" t="s">
        <v>3071</v>
      </c>
      <c r="D1380" s="0">
        <f dt2D="0" dtr="0">HYPERLINK("https://www.icra.in/Rating/RatingDetails?CompanyId=0&amp;CompanyName=Meghnad Saha Institute of Technology", "Rationale")</f>
        <v/>
      </c>
    </row>
    <row r="1381">
      <c r="A1381" s="0" t="s">
        <v>3381</v>
      </c>
      <c r="B1381" s="0" t="s">
        <v>3382</v>
      </c>
      <c r="C1381" s="0" t="s">
        <v>3383</v>
      </c>
      <c r="D1381" s="0">
        <f dt2D="0" dtr="0">HYPERLINK("https://www.icra.in/Rating/RatingDetails?CompanyId=0&amp;CompanyName=Meh India Overseas Private Limited", "Rationale")</f>
        <v/>
      </c>
    </row>
    <row r="1382">
      <c r="A1382" s="0" t="s">
        <v>3384</v>
      </c>
      <c r="B1382" s="0" t="s">
        <v>3385</v>
      </c>
      <c r="C1382" s="0" t="s">
        <v>71</v>
      </c>
      <c r="D1382" s="0">
        <f dt2D="0" dtr="0">HYPERLINK("https://www.icra.in/Rating/RatingDetails?CompanyId=0&amp;CompanyName=Mehta &amp; Associates Fire Protection Systems Private Limited", "Rationale")</f>
        <v/>
      </c>
    </row>
    <row r="1383">
      <c r="A1383" s="0" t="s">
        <v>3386</v>
      </c>
      <c r="B1383" s="0" t="s">
        <v>3387</v>
      </c>
      <c r="C1383" s="0" t="s">
        <v>3388</v>
      </c>
      <c r="D1383" s="0">
        <f dt2D="0" dtr="0">HYPERLINK("https://www.icra.in/Rating/RatingDetails?CompanyId=0&amp;CompanyName=Mehta Brothers Gems Private Limited", "Rationale")</f>
        <v/>
      </c>
    </row>
    <row r="1384">
      <c r="A1384" s="0" t="s">
        <v>3389</v>
      </c>
      <c r="B1384" s="0" t="s">
        <v>3390</v>
      </c>
      <c r="C1384" s="0" t="s">
        <v>71</v>
      </c>
      <c r="D1384" s="0">
        <f dt2D="0" dtr="0">HYPERLINK("https://www.icra.in/Rating/RatingDetails?CompanyId=0&amp;CompanyName=Melange Developers", "Rationale")</f>
        <v/>
      </c>
    </row>
    <row r="1385">
      <c r="A1385" s="0" t="s">
        <v>3391</v>
      </c>
      <c r="B1385" s="0" t="s">
        <v>3392</v>
      </c>
      <c r="C1385" s="0" t="s">
        <v>918</v>
      </c>
      <c r="D1385" s="0">
        <f dt2D="0" dtr="0">HYPERLINK("https://www.icra.in/Rating/RatingDetails?CompanyId=0&amp;CompanyName=Memon Health Care Private Limited", "Rationale")</f>
        <v/>
      </c>
    </row>
    <row r="1386">
      <c r="A1386" s="0" t="s">
        <v>3393</v>
      </c>
      <c r="B1386" s="0" t="s">
        <v>3394</v>
      </c>
      <c r="C1386" s="0" t="s">
        <v>941</v>
      </c>
      <c r="D1386" s="0">
        <f dt2D="0" dtr="0">HYPERLINK("https://www.icra.in/Rating/RatingDetails?CompanyId=0&amp;CompanyName=Mep Sanjose Arawali Kante Road Private Limited", "Rationale")</f>
        <v/>
      </c>
    </row>
    <row r="1387">
      <c r="A1387" s="0" t="s">
        <v>3395</v>
      </c>
      <c r="B1387" s="0" t="s">
        <v>3396</v>
      </c>
      <c r="C1387" s="0" t="s">
        <v>180</v>
      </c>
      <c r="D1387" s="0">
        <f dt2D="0" dtr="0">HYPERLINK("https://www.icra.in/Rating/RatingDetails?CompanyId=0&amp;CompanyName=Mep Sanjose Kante Waked Road Private Limited", "Rationale")</f>
        <v/>
      </c>
    </row>
    <row r="1388">
      <c r="A1388" s="0" t="s">
        <v>3397</v>
      </c>
      <c r="B1388" s="0" t="s">
        <v>3398</v>
      </c>
      <c r="C1388" s="0" t="s">
        <v>567</v>
      </c>
      <c r="D1388" s="0">
        <f dt2D="0" dtr="0">HYPERLINK("https://www.icra.in/Rating/RatingDetails?CompanyId=0&amp;CompanyName=Merit Technologies India Limited", "Rationale")</f>
        <v/>
      </c>
    </row>
    <row r="1389">
      <c r="A1389" s="0" t="s">
        <v>3399</v>
      </c>
      <c r="B1389" s="0" t="s">
        <v>3400</v>
      </c>
      <c r="C1389" s="0" t="s">
        <v>3401</v>
      </c>
      <c r="D1389" s="0">
        <f dt2D="0" dtr="0">HYPERLINK("https://www.icra.in/Rating/RatingDetails?CompanyId=0&amp;CompanyName=Meru Industries LLP (erstwhile Meru industries)", "Rationale")</f>
        <v/>
      </c>
    </row>
    <row r="1390">
      <c r="A1390" s="0" t="s">
        <v>3402</v>
      </c>
      <c r="B1390" s="0" t="s">
        <v>3403</v>
      </c>
      <c r="C1390" s="0" t="s">
        <v>3404</v>
      </c>
      <c r="D1390" s="0">
        <f dt2D="0" dtr="0">HYPERLINK("https://www.icra.in/Rating/RatingDetails?CompanyId=0&amp;CompanyName=Metawood Display System", "Rationale")</f>
        <v/>
      </c>
    </row>
    <row r="1391">
      <c r="A1391" s="0" t="s">
        <v>3405</v>
      </c>
      <c r="B1391" s="0" t="s">
        <v>3406</v>
      </c>
      <c r="C1391" s="0" t="s">
        <v>3407</v>
      </c>
      <c r="D1391" s="0">
        <f dt2D="0" dtr="0">HYPERLINK("https://www.icra.in/Rating/RatingDetails?CompanyId=0&amp;CompanyName=Metco Roof Private Limited", "Rationale")</f>
        <v/>
      </c>
    </row>
    <row r="1392">
      <c r="A1392" s="0" t="s">
        <v>3408</v>
      </c>
      <c r="B1392" s="0" t="s">
        <v>3409</v>
      </c>
      <c r="C1392" s="0" t="s">
        <v>1721</v>
      </c>
      <c r="D1392" s="0">
        <f dt2D="0" dtr="0">HYPERLINK("https://www.icra.in/Rating/RatingDetails?CompanyId=0&amp;CompanyName=Metro Hospital and Cancer Research Centre", "Rationale")</f>
        <v/>
      </c>
    </row>
    <row r="1393">
      <c r="A1393" s="0" t="s">
        <v>3410</v>
      </c>
      <c r="B1393" s="0" t="s">
        <v>3411</v>
      </c>
      <c r="C1393" s="0" t="s">
        <v>265</v>
      </c>
      <c r="D1393" s="0">
        <f dt2D="0" dtr="0">HYPERLINK("https://www.icra.in/Rating/RatingDetails?CompanyId=0&amp;CompanyName=Mewad Polymers Private Limited", "Rationale")</f>
        <v/>
      </c>
    </row>
    <row r="1394">
      <c r="A1394" s="0" t="s">
        <v>3412</v>
      </c>
      <c r="B1394" s="0" t="s">
        <v>3413</v>
      </c>
      <c r="C1394" s="0" t="s">
        <v>3167</v>
      </c>
      <c r="D1394" s="0">
        <f dt2D="0" dtr="0">HYPERLINK("https://www.icra.in/Rating/RatingDetails?CompanyId=0&amp;CompanyName=Mewar Hitech Engineering Limited", "Rationale")</f>
        <v/>
      </c>
    </row>
    <row r="1395">
      <c r="A1395" s="0" t="s">
        <v>3414</v>
      </c>
      <c r="B1395" s="0" t="s">
        <v>3415</v>
      </c>
      <c r="C1395" s="0" t="s">
        <v>2384</v>
      </c>
      <c r="D1395" s="0">
        <f dt2D="0" dtr="0">HYPERLINK("https://www.icra.in/Rating/RatingDetails?CompanyId=0&amp;CompanyName=Mid West Builders Private Limited", "Rationale")</f>
        <v/>
      </c>
    </row>
    <row r="1396">
      <c r="A1396" s="0" t="s">
        <v>3416</v>
      </c>
      <c r="B1396" s="0" t="s">
        <v>3417</v>
      </c>
      <c r="C1396" s="0" t="s">
        <v>62</v>
      </c>
      <c r="D1396" s="0">
        <f dt2D="0" dtr="0">HYPERLINK("https://www.icra.in/Rating/RatingDetails?CompanyId=0&amp;CompanyName=Midas Agro Foods Pvt Ltd", "Rationale")</f>
        <v/>
      </c>
    </row>
    <row r="1397">
      <c r="A1397" s="0" t="s">
        <v>3418</v>
      </c>
      <c r="B1397" s="0" t="s">
        <v>3419</v>
      </c>
      <c r="C1397" s="0" t="s">
        <v>15</v>
      </c>
      <c r="D1397" s="0">
        <f dt2D="0" dtr="0">HYPERLINK("https://www.icra.in/Rating/RatingDetails?CompanyId=0&amp;CompanyName=Midway Apparels India Private Limited", "Rationale")</f>
        <v/>
      </c>
    </row>
    <row r="1398">
      <c r="A1398" s="0" t="s">
        <v>3420</v>
      </c>
      <c r="B1398" s="0" t="s">
        <v>3421</v>
      </c>
      <c r="C1398" s="0" t="s">
        <v>1219</v>
      </c>
      <c r="D1398" s="0">
        <f dt2D="0" dtr="0">HYPERLINK("https://www.icra.in/Rating/RatingDetails?CompanyId=0&amp;CompanyName=Milind Pulses", "Rationale")</f>
        <v/>
      </c>
    </row>
    <row r="1399">
      <c r="A1399" s="0" t="s">
        <v>3422</v>
      </c>
      <c r="B1399" s="0" t="s">
        <v>3423</v>
      </c>
      <c r="C1399" s="0" t="s">
        <v>160</v>
      </c>
      <c r="D1399" s="0">
        <f dt2D="0" dtr="0">HYPERLINK("https://www.icra.in/Rating/RatingDetails?CompanyId=0&amp;CompanyName=Millenium Exim Private Limited", "Rationale")</f>
        <v/>
      </c>
    </row>
    <row r="1400">
      <c r="A1400" s="0" t="s">
        <v>3424</v>
      </c>
      <c r="B1400" s="0" t="s">
        <v>3425</v>
      </c>
      <c r="C1400" s="0" t="s">
        <v>2777</v>
      </c>
      <c r="D1400" s="0">
        <f dt2D="0" dtr="0">HYPERLINK("https://www.icra.in/Rating/RatingDetails?CompanyId=0&amp;CompanyName=Milsha Agro Exports Pvt. Ltd.", "Rationale")</f>
        <v/>
      </c>
    </row>
    <row r="1401">
      <c r="A1401" s="0" t="s">
        <v>3426</v>
      </c>
      <c r="B1401" s="0" t="s">
        <v>3427</v>
      </c>
      <c r="C1401" s="0" t="s">
        <v>242</v>
      </c>
      <c r="D1401" s="0">
        <f dt2D="0" dtr="0">HYPERLINK("https://www.icra.in/Rating/RatingDetails?CompanyId=0&amp;CompanyName=Milton Cycle Industries Limited", "Rationale")</f>
        <v/>
      </c>
    </row>
    <row r="1402">
      <c r="A1402" s="0" t="s">
        <v>3428</v>
      </c>
      <c r="B1402" s="0" t="s">
        <v>3429</v>
      </c>
      <c r="C1402" s="0" t="s">
        <v>3430</v>
      </c>
      <c r="D1402" s="0">
        <f dt2D="0" dtr="0">HYPERLINK("https://www.icra.in/Rating/RatingDetails?CompanyId=0&amp;CompanyName=Mini Construction", "Rationale")</f>
        <v/>
      </c>
    </row>
    <row r="1403">
      <c r="A1403" s="0" t="s">
        <v>3431</v>
      </c>
      <c r="B1403" s="0" t="s">
        <v>3432</v>
      </c>
      <c r="C1403" s="0" t="s">
        <v>71</v>
      </c>
      <c r="D1403" s="0">
        <f dt2D="0" dtr="0">HYPERLINK("https://www.icra.in/Rating/RatingDetails?CompanyId=0&amp;CompanyName=Mini Hotels &amp; Projects", "Rationale")</f>
        <v/>
      </c>
    </row>
    <row r="1404">
      <c r="A1404" s="0" t="s">
        <v>3433</v>
      </c>
      <c r="B1404" s="0" t="s">
        <v>3434</v>
      </c>
      <c r="C1404" s="0" t="s">
        <v>3435</v>
      </c>
      <c r="D1404" s="0">
        <f dt2D="0" dtr="0">HYPERLINK("https://www.icra.in/Rating/RatingDetails?CompanyId=0&amp;CompanyName=Mining Associates Pvt. Ltd.", "Rationale")</f>
        <v/>
      </c>
    </row>
    <row r="1405">
      <c r="A1405" s="0" t="s">
        <v>3436</v>
      </c>
      <c r="B1405" s="0" t="s">
        <v>3437</v>
      </c>
      <c r="C1405" s="0" t="s">
        <v>141</v>
      </c>
      <c r="D1405" s="0">
        <f dt2D="0" dtr="0">HYPERLINK("https://www.icra.in/Rating/RatingDetails?CompanyId=0&amp;CompanyName=Minox Metal Private Limited", "Rationale")</f>
        <v/>
      </c>
    </row>
    <row r="1406">
      <c r="A1406" s="0" t="s">
        <v>3438</v>
      </c>
      <c r="B1406" s="0" t="s">
        <v>3439</v>
      </c>
      <c r="C1406" s="0" t="s">
        <v>3440</v>
      </c>
      <c r="D1406" s="0">
        <f dt2D="0" dtr="0">HYPERLINK("https://www.icra.in/Rating/RatingDetails?CompanyId=0&amp;CompanyName=Mira Exim Limited", "Rationale")</f>
        <v/>
      </c>
    </row>
    <row r="1407">
      <c r="A1407" s="0" t="s">
        <v>3441</v>
      </c>
      <c r="B1407" s="0" t="s">
        <v>3442</v>
      </c>
      <c r="C1407" s="0" t="s">
        <v>1541</v>
      </c>
      <c r="D1407" s="0">
        <f dt2D="0" dtr="0">HYPERLINK("https://www.icra.in/Rating/RatingDetails?CompanyId=0&amp;CompanyName=Miraj Metals", "Rationale")</f>
        <v/>
      </c>
    </row>
    <row r="1408">
      <c r="A1408" s="0" t="s">
        <v>3443</v>
      </c>
      <c r="B1408" s="0" t="s">
        <v>3444</v>
      </c>
      <c r="C1408" s="0" t="s">
        <v>588</v>
      </c>
      <c r="D1408" s="0">
        <f dt2D="0" dtr="0">HYPERLINK("https://www.icra.in/Rating/RatingDetails?CompanyId=0&amp;CompanyName=Miryalaguda Municipality", "Rationale")</f>
        <v/>
      </c>
    </row>
    <row r="1409">
      <c r="A1409" s="0" t="s">
        <v>3445</v>
      </c>
      <c r="B1409" s="0" t="s">
        <v>3446</v>
      </c>
      <c r="C1409" s="0" t="s">
        <v>508</v>
      </c>
      <c r="D1409" s="0">
        <f dt2D="0" dtr="0">HYPERLINK("https://www.icra.in/Rating/RatingDetails?CompanyId=0&amp;CompanyName=Mistry Enterprises Limited", "Rationale")</f>
        <v/>
      </c>
    </row>
    <row r="1410">
      <c r="A1410" s="0" t="s">
        <v>3447</v>
      </c>
      <c r="B1410" s="0" t="s">
        <v>3448</v>
      </c>
      <c r="C1410" s="0" t="s">
        <v>1742</v>
      </c>
      <c r="D1410" s="0">
        <f dt2D="0" dtr="0">HYPERLINK("https://www.icra.in/Rating/RatingDetails?CompanyId=0&amp;CompanyName=Mittal Construction Unit", "Rationale")</f>
        <v/>
      </c>
    </row>
    <row r="1411">
      <c r="A1411" s="0" t="s">
        <v>3449</v>
      </c>
      <c r="B1411" s="0" t="s">
        <v>3450</v>
      </c>
      <c r="C1411" s="0" t="s">
        <v>1522</v>
      </c>
      <c r="D1411" s="0">
        <f dt2D="0" dtr="0">HYPERLINK("https://www.icra.in/Rating/RatingDetails?CompanyId=0&amp;CompanyName=Mittal Cot Fibers", "Rationale")</f>
        <v/>
      </c>
    </row>
    <row r="1412">
      <c r="A1412" s="0" t="s">
        <v>3451</v>
      </c>
      <c r="B1412" s="0" t="s">
        <v>3452</v>
      </c>
      <c r="C1412" s="0" t="s">
        <v>346</v>
      </c>
      <c r="D1412" s="0">
        <f dt2D="0" dtr="0">HYPERLINK("https://www.icra.in/Rating/RatingDetails?CompanyId=0&amp;CompanyName=Mittal International", "Rationale")</f>
        <v/>
      </c>
    </row>
    <row r="1413">
      <c r="A1413" s="0" t="s">
        <v>3453</v>
      </c>
      <c r="B1413" s="0" t="s">
        <v>3454</v>
      </c>
      <c r="C1413" s="0" t="s">
        <v>3455</v>
      </c>
      <c r="D1413" s="0">
        <f dt2D="0" dtr="0">HYPERLINK("https://www.icra.in/Rating/RatingDetails?CompanyId=0&amp;CompanyName=Mittal Life Style Limited", "Rationale")</f>
        <v/>
      </c>
    </row>
    <row r="1414">
      <c r="A1414" s="0" t="s">
        <v>3456</v>
      </c>
      <c r="B1414" s="0" t="s">
        <v>3457</v>
      </c>
      <c r="C1414" s="0" t="s">
        <v>3458</v>
      </c>
      <c r="D1414" s="0">
        <f dt2D="0" dtr="0">HYPERLINK("https://www.icra.in/Rating/RatingDetails?CompanyId=0&amp;CompanyName=Mittal Ocean Trade Pvt. Ltd.", "Rationale")</f>
        <v/>
      </c>
    </row>
    <row r="1415">
      <c r="A1415" s="0" t="s">
        <v>3459</v>
      </c>
      <c r="B1415" s="0" t="s">
        <v>3460</v>
      </c>
      <c r="C1415" s="0" t="s">
        <v>3458</v>
      </c>
      <c r="D1415" s="0">
        <f dt2D="0" dtr="0">HYPERLINK("https://www.icra.in/Rating/RatingDetails?CompanyId=0&amp;CompanyName=Mittal Timber Store", "Rationale")</f>
        <v/>
      </c>
    </row>
    <row r="1416">
      <c r="A1416" s="0" t="s">
        <v>3461</v>
      </c>
      <c r="B1416" s="0" t="s">
        <v>3462</v>
      </c>
      <c r="C1416" s="0" t="s">
        <v>430</v>
      </c>
      <c r="D1416" s="0">
        <f dt2D="0" dtr="0">HYPERLINK("https://www.icra.in/Rating/RatingDetails?CompanyId=0&amp;CompanyName=Mittal Udyog Indore Pvt. Ltd.", "Rationale")</f>
        <v/>
      </c>
    </row>
    <row r="1417">
      <c r="A1417" s="0" t="s">
        <v>3463</v>
      </c>
      <c r="B1417" s="0" t="s">
        <v>3464</v>
      </c>
      <c r="C1417" s="0" t="s">
        <v>71</v>
      </c>
      <c r="D1417" s="0">
        <f dt2D="0" dtr="0">HYPERLINK("https://www.icra.in/Rating/RatingDetails?CompanyId=0&amp;CompanyName=Mixed Bag Overseas", "Rationale")</f>
        <v/>
      </c>
    </row>
    <row r="1418">
      <c r="A1418" s="0" t="s">
        <v>3465</v>
      </c>
      <c r="B1418" s="0" t="s">
        <v>3466</v>
      </c>
      <c r="C1418" s="0" t="s">
        <v>92</v>
      </c>
      <c r="D1418" s="0">
        <f dt2D="0" dtr="0">HYPERLINK("https://www.icra.in/Rating/RatingDetails?CompanyId=0&amp;CompanyName=Mizoram Ispat Industries", "Rationale")</f>
        <v/>
      </c>
    </row>
    <row r="1419">
      <c r="A1419" s="0" t="s">
        <v>3467</v>
      </c>
      <c r="B1419" s="0" t="s">
        <v>3468</v>
      </c>
      <c r="C1419" s="0" t="s">
        <v>2180</v>
      </c>
      <c r="D1419" s="0">
        <f dt2D="0" dtr="0">HYPERLINK("https://www.icra.in/Rating/RatingDetails?CompanyId=0&amp;CompanyName=MM Auto Industries Limited", "Rationale")</f>
        <v/>
      </c>
    </row>
    <row r="1420">
      <c r="A1420" s="0" t="s">
        <v>3469</v>
      </c>
      <c r="B1420" s="0" t="s">
        <v>3470</v>
      </c>
      <c r="C1420" s="0" t="s">
        <v>1832</v>
      </c>
      <c r="D1420" s="0">
        <f dt2D="0" dtr="0">HYPERLINK("https://www.icra.in/Rating/RatingDetails?CompanyId=0&amp;CompanyName=MNR Cottons Limited", "Rationale")</f>
        <v/>
      </c>
    </row>
    <row r="1421">
      <c r="A1421" s="0" t="s">
        <v>3471</v>
      </c>
      <c r="B1421" s="0" t="s">
        <v>3472</v>
      </c>
      <c r="C1421" s="0" t="s">
        <v>1796</v>
      </c>
      <c r="D1421" s="0">
        <f dt2D="0" dtr="0">HYPERLINK("https://www.icra.in/Rating/RatingDetails?CompanyId=0&amp;CompanyName=Mobismart Card Technology Private Limited", "Rationale")</f>
        <v/>
      </c>
    </row>
    <row r="1422">
      <c r="A1422" s="0" t="s">
        <v>3473</v>
      </c>
      <c r="B1422" s="0" t="s">
        <v>3474</v>
      </c>
      <c r="C1422" s="0" t="s">
        <v>92</v>
      </c>
      <c r="D1422" s="0">
        <f dt2D="0" dtr="0">HYPERLINK("https://www.icra.in/Rating/RatingDetails?CompanyId=0&amp;CompanyName=Modern Agro Mills", "Rationale")</f>
        <v/>
      </c>
    </row>
    <row r="1423">
      <c r="A1423" s="0" t="s">
        <v>3475</v>
      </c>
      <c r="B1423" s="0" t="s">
        <v>3476</v>
      </c>
      <c r="C1423" s="0" t="s">
        <v>71</v>
      </c>
      <c r="D1423" s="0">
        <f dt2D="0" dtr="0">HYPERLINK("https://www.icra.in/Rating/RatingDetails?CompanyId=0&amp;CompanyName=Modern Agro-Tech Industries", "Rationale")</f>
        <v/>
      </c>
    </row>
    <row r="1424">
      <c r="A1424" s="0" t="s">
        <v>3477</v>
      </c>
      <c r="B1424" s="0" t="s">
        <v>3478</v>
      </c>
      <c r="C1424" s="0" t="s">
        <v>1808</v>
      </c>
      <c r="D1424" s="0">
        <f dt2D="0" dtr="0">HYPERLINK("https://www.icra.in/Rating/RatingDetails?CompanyId=0&amp;CompanyName=Modern Chemicals", "Rationale")</f>
        <v/>
      </c>
    </row>
    <row r="1425">
      <c r="A1425" s="0" t="s">
        <v>3479</v>
      </c>
      <c r="B1425" s="0" t="s">
        <v>3480</v>
      </c>
      <c r="C1425" s="0" t="s">
        <v>1340</v>
      </c>
      <c r="D1425" s="0">
        <f dt2D="0" dtr="0">HYPERLINK("https://www.icra.in/Rating/RatingDetails?CompanyId=0&amp;CompanyName=Modern Construction Company (Delhi)", "Rationale")</f>
        <v/>
      </c>
    </row>
    <row r="1426">
      <c r="A1426" s="0" t="s">
        <v>3481</v>
      </c>
      <c r="B1426" s="0" t="s">
        <v>3482</v>
      </c>
      <c r="C1426" s="0" t="s">
        <v>1009</v>
      </c>
      <c r="D1426" s="0">
        <f dt2D="0" dtr="0">HYPERLINK("https://www.icra.in/Rating/RatingDetails?CompanyId=0&amp;CompanyName=Modern Machinery Store", "Rationale")</f>
        <v/>
      </c>
    </row>
    <row r="1427">
      <c r="A1427" s="0" t="s">
        <v>3483</v>
      </c>
      <c r="B1427" s="0" t="s">
        <v>3484</v>
      </c>
      <c r="C1427" s="0" t="s">
        <v>71</v>
      </c>
      <c r="D1427" s="0">
        <f dt2D="0" dtr="0">HYPERLINK("https://www.icra.in/Rating/RatingDetails?CompanyId=0&amp;CompanyName=Modern Transformers Private Limited", "Rationale")</f>
        <v/>
      </c>
    </row>
    <row r="1428">
      <c r="A1428" s="0" t="s">
        <v>3485</v>
      </c>
      <c r="B1428" s="0" t="s">
        <v>3486</v>
      </c>
      <c r="C1428" s="0" t="s">
        <v>71</v>
      </c>
      <c r="D1428" s="0">
        <f dt2D="0" dtr="0">HYPERLINK("https://www.icra.in/Rating/RatingDetails?CompanyId=0&amp;CompanyName=Modrina Auto Enterprises", "Rationale")</f>
        <v/>
      </c>
    </row>
    <row r="1429">
      <c r="A1429" s="0" t="s">
        <v>3487</v>
      </c>
      <c r="B1429" s="0" t="s">
        <v>3488</v>
      </c>
      <c r="C1429" s="0" t="s">
        <v>3489</v>
      </c>
      <c r="D1429" s="0">
        <f dt2D="0" dtr="0">HYPERLINK("https://www.icra.in/Rating/RatingDetails?CompanyId=0&amp;CompanyName=Modular Concepts LLC", "Rationale")</f>
        <v/>
      </c>
    </row>
    <row r="1430">
      <c r="A1430" s="0" t="s">
        <v>3490</v>
      </c>
      <c r="B1430" s="0" t="s">
        <v>3491</v>
      </c>
      <c r="C1430" s="0" t="s">
        <v>3492</v>
      </c>
      <c r="D1430" s="0">
        <f dt2D="0" dtr="0">HYPERLINK("https://www.icra.in/Rating/RatingDetails?CompanyId=0&amp;CompanyName=Mohan Enterprises", "Rationale")</f>
        <v/>
      </c>
    </row>
    <row r="1431">
      <c r="A1431" s="0" t="s">
        <v>3493</v>
      </c>
      <c r="B1431" s="0" t="s">
        <v>3494</v>
      </c>
      <c r="C1431" s="0" t="s">
        <v>3495</v>
      </c>
      <c r="D1431" s="0">
        <f dt2D="0" dtr="0">HYPERLINK("https://www.icra.in/Rating/RatingDetails?CompanyId=0&amp;CompanyName=Mohan Mutha Exports Private Limited", "Rationale")</f>
        <v/>
      </c>
    </row>
    <row r="1432">
      <c r="A1432" s="0" t="s">
        <v>3496</v>
      </c>
      <c r="B1432" s="0" t="s">
        <v>3497</v>
      </c>
      <c r="C1432" s="0" t="s">
        <v>18</v>
      </c>
      <c r="D1432" s="0">
        <f dt2D="0" dtr="0">HYPERLINK("https://www.icra.in/Rating/RatingDetails?CompanyId=0&amp;CompanyName=Mohan Rao and Company", "Rationale")</f>
        <v/>
      </c>
    </row>
    <row r="1433">
      <c r="A1433" s="0" t="s">
        <v>3498</v>
      </c>
      <c r="B1433" s="0" t="s">
        <v>3499</v>
      </c>
      <c r="C1433" s="0" t="s">
        <v>1201</v>
      </c>
      <c r="D1433" s="0">
        <f dt2D="0" dtr="0">HYPERLINK("https://www.icra.in/Rating/RatingDetails?CompanyId=0&amp;CompanyName=Mohani Tea Leaves Private Limited", "Rationale")</f>
        <v/>
      </c>
    </row>
    <row r="1434">
      <c r="A1434" s="0" t="s">
        <v>3500</v>
      </c>
      <c r="B1434" s="0" t="s">
        <v>3501</v>
      </c>
      <c r="C1434" s="0" t="s">
        <v>511</v>
      </c>
      <c r="D1434" s="0">
        <f dt2D="0" dtr="0">HYPERLINK("https://www.icra.in/Rating/RatingDetails?CompanyId=0&amp;CompanyName=Mohit Ispat Limited", "Rationale")</f>
        <v/>
      </c>
    </row>
    <row r="1435">
      <c r="A1435" s="0" t="s">
        <v>3502</v>
      </c>
      <c r="B1435" s="0" t="s">
        <v>3503</v>
      </c>
      <c r="C1435" s="0" t="s">
        <v>71</v>
      </c>
      <c r="D1435" s="0">
        <f dt2D="0" dtr="0">HYPERLINK("https://www.icra.in/Rating/RatingDetails?CompanyId=0&amp;CompanyName=Mondal Cold Storage", "Rationale")</f>
        <v/>
      </c>
    </row>
    <row r="1436">
      <c r="A1436" s="0" t="s">
        <v>3504</v>
      </c>
      <c r="B1436" s="0" t="s">
        <v>3505</v>
      </c>
      <c r="C1436" s="0" t="s">
        <v>71</v>
      </c>
      <c r="D1436" s="0">
        <f dt2D="0" dtr="0">HYPERLINK("https://www.icra.in/Rating/RatingDetails?CompanyId=0&amp;CompanyName=Mondal Ice &amp; Cold Storage Private Limited", "Rationale")</f>
        <v/>
      </c>
    </row>
    <row r="1437">
      <c r="A1437" s="0" t="s">
        <v>3506</v>
      </c>
      <c r="B1437" s="0" t="s">
        <v>3507</v>
      </c>
      <c r="C1437" s="0" t="s">
        <v>247</v>
      </c>
      <c r="D1437" s="0">
        <f dt2D="0" dtr="0">HYPERLINK("https://www.icra.in/Rating/RatingDetails?CompanyId=0&amp;CompanyName=Montana Tiles Pvt. Ltd.", "Rationale")</f>
        <v/>
      </c>
    </row>
    <row r="1438">
      <c r="A1438" s="0" t="s">
        <v>3508</v>
      </c>
      <c r="B1438" s="0" t="s">
        <v>3509</v>
      </c>
      <c r="C1438" s="0" t="s">
        <v>1350</v>
      </c>
      <c r="D1438" s="0">
        <f dt2D="0" dtr="0">HYPERLINK("https://www.icra.in/Rating/RatingDetails?CompanyId=0&amp;CompanyName=Montfort Educational and Charitable Trust of The Brothers of St. Gabriel", "Rationale")</f>
        <v/>
      </c>
    </row>
    <row r="1439">
      <c r="A1439" s="0" t="s">
        <v>3510</v>
      </c>
      <c r="B1439" s="0" t="s">
        <v>3511</v>
      </c>
      <c r="C1439" s="0" t="s">
        <v>941</v>
      </c>
      <c r="D1439" s="0">
        <f dt2D="0" dtr="0">HYPERLINK("https://www.icra.in/Rating/RatingDetails?CompanyId=0&amp;CompanyName=Moonlight Marbles Private Limited", "Rationale")</f>
        <v/>
      </c>
    </row>
    <row r="1440">
      <c r="A1440" s="0" t="s">
        <v>3512</v>
      </c>
      <c r="B1440" s="0" t="s">
        <v>3513</v>
      </c>
      <c r="C1440" s="0" t="s">
        <v>734</v>
      </c>
      <c r="D1440" s="0">
        <f dt2D="0" dtr="0">HYPERLINK("https://www.icra.in/Rating/RatingDetails?CompanyId=0&amp;CompanyName=Mor Alloys Private Limited", "Rationale")</f>
        <v/>
      </c>
    </row>
    <row r="1441">
      <c r="A1441" s="0" t="s">
        <v>3514</v>
      </c>
      <c r="B1441" s="0" t="s">
        <v>3515</v>
      </c>
      <c r="C1441" s="0" t="s">
        <v>1914</v>
      </c>
      <c r="D1441" s="0">
        <f dt2D="0" dtr="0">HYPERLINK("https://www.icra.in/Rating/RatingDetails?CompanyId=0&amp;CompanyName=Motherhood Institute of Management &amp; Technology Society", "Rationale")</f>
        <v/>
      </c>
    </row>
    <row r="1442">
      <c r="A1442" s="0" t="s">
        <v>3516</v>
      </c>
      <c r="B1442" s="0" t="s">
        <v>3517</v>
      </c>
      <c r="C1442" s="0" t="s">
        <v>1006</v>
      </c>
      <c r="D1442" s="0">
        <f dt2D="0" dtr="0">HYPERLINK("https://www.icra.in/Rating/RatingDetails?CompanyId=0&amp;CompanyName=Motia Township Private Limited", "Rationale")</f>
        <v/>
      </c>
    </row>
    <row r="1443">
      <c r="A1443" s="0" t="s">
        <v>3518</v>
      </c>
      <c r="B1443" s="0" t="s">
        <v>3519</v>
      </c>
      <c r="C1443" s="0" t="s">
        <v>2979</v>
      </c>
      <c r="D1443" s="0">
        <f dt2D="0" dtr="0">HYPERLINK("https://www.icra.in/Rating/RatingDetails?CompanyId=0&amp;CompanyName=MP Agro BRK Energy Foods Limited", "Rationale")</f>
        <v/>
      </c>
    </row>
    <row r="1444">
      <c r="A1444" s="0" t="s">
        <v>3520</v>
      </c>
      <c r="B1444" s="0" t="s">
        <v>3521</v>
      </c>
      <c r="C1444" s="0" t="s">
        <v>929</v>
      </c>
      <c r="D1444" s="0">
        <f dt2D="0" dtr="0">HYPERLINK("https://www.icra.in/Rating/RatingDetails?CompanyId=0&amp;CompanyName=Mridul International Private Limited (Erstwhile Mridul Enterprises)", "Rationale")</f>
        <v/>
      </c>
    </row>
    <row r="1445">
      <c r="A1445" s="0" t="s">
        <v>3522</v>
      </c>
      <c r="B1445" s="0" t="s">
        <v>3523</v>
      </c>
      <c r="C1445" s="0" t="s">
        <v>932</v>
      </c>
      <c r="D1445" s="0">
        <f dt2D="0" dtr="0">HYPERLINK("https://www.icra.in/Rating/RatingDetails?CompanyId=0&amp;CompanyName=MRN Agro Industries", "Rationale")</f>
        <v/>
      </c>
    </row>
    <row r="1446">
      <c r="A1446" s="0" t="s">
        <v>3524</v>
      </c>
      <c r="B1446" s="0" t="s">
        <v>3525</v>
      </c>
      <c r="C1446" s="0" t="s">
        <v>2835</v>
      </c>
      <c r="D1446" s="0">
        <f dt2D="0" dtr="0">HYPERLINK("https://www.icra.in/Rating/RatingDetails?CompanyId=0&amp;CompanyName=Mudrakshi Hytech India Private Limited", "Rationale")</f>
        <v/>
      </c>
    </row>
    <row r="1447">
      <c r="A1447" s="0" t="s">
        <v>3526</v>
      </c>
      <c r="B1447" s="0" t="s">
        <v>3527</v>
      </c>
      <c r="C1447" s="0" t="s">
        <v>1832</v>
      </c>
      <c r="D1447" s="0">
        <f dt2D="0" dtr="0">HYPERLINK("https://www.icra.in/Rating/RatingDetails?CompanyId=0&amp;CompanyName=Mukesh and Co.", "Rationale")</f>
        <v/>
      </c>
    </row>
    <row r="1448">
      <c r="A1448" s="0" t="s">
        <v>3528</v>
      </c>
      <c r="B1448" s="0" t="s">
        <v>3529</v>
      </c>
      <c r="C1448" s="0" t="s">
        <v>489</v>
      </c>
      <c r="D1448" s="0">
        <f dt2D="0" dtr="0">HYPERLINK("https://www.icra.in/Rating/RatingDetails?CompanyId=0&amp;CompanyName=Mukta Industries Private Limited", "Rationale")</f>
        <v/>
      </c>
    </row>
    <row r="1449">
      <c r="A1449" s="0" t="s">
        <v>3530</v>
      </c>
      <c r="B1449" s="0" t="s">
        <v>3531</v>
      </c>
      <c r="C1449" s="0" t="s">
        <v>1363</v>
      </c>
      <c r="D1449" s="0">
        <f dt2D="0" dtr="0">HYPERLINK("https://www.icra.in/Rating/RatingDetails?CompanyId=0&amp;CompanyName=Muktsar Cotton (P) Ltd.", "Rationale")</f>
        <v/>
      </c>
    </row>
    <row r="1450">
      <c r="A1450" s="0" t="s">
        <v>3532</v>
      </c>
      <c r="B1450" s="0" t="s">
        <v>3533</v>
      </c>
      <c r="C1450" s="0" t="s">
        <v>897</v>
      </c>
      <c r="D1450" s="0">
        <f dt2D="0" dtr="0">HYPERLINK("https://www.icra.in/Rating/RatingDetails?CompanyId=0&amp;CompanyName=Mula Agro Products Private Limited", "Rationale")</f>
        <v/>
      </c>
    </row>
    <row r="1451">
      <c r="A1451" s="0" t="s">
        <v>3534</v>
      </c>
      <c r="B1451" s="0" t="s">
        <v>3535</v>
      </c>
      <c r="C1451" s="0" t="s">
        <v>3536</v>
      </c>
      <c r="D1451" s="0">
        <f dt2D="0" dtr="0">HYPERLINK("https://www.icra.in/Rating/RatingDetails?CompanyId=0&amp;CompanyName=MULA Sahakari Sakhar Karkhana Limited", "Rationale")</f>
        <v/>
      </c>
    </row>
    <row r="1452">
      <c r="A1452" s="0" t="s">
        <v>3537</v>
      </c>
      <c r="B1452" s="0" t="s">
        <v>3538</v>
      </c>
      <c r="C1452" s="0" t="s">
        <v>1541</v>
      </c>
      <c r="D1452" s="0">
        <f dt2D="0" dtr="0">HYPERLINK("https://www.icra.in/Rating/RatingDetails?CompanyId=0&amp;CompanyName=Multichem Specialities Private Limited", "Rationale")</f>
        <v/>
      </c>
    </row>
    <row r="1453">
      <c r="A1453" s="0" t="s">
        <v>3539</v>
      </c>
      <c r="B1453" s="0" t="s">
        <v>3540</v>
      </c>
      <c r="C1453" s="0" t="s">
        <v>71</v>
      </c>
      <c r="D1453" s="0">
        <f dt2D="0" dtr="0">HYPERLINK("https://www.icra.in/Rating/RatingDetails?CompanyId=0&amp;CompanyName=Multimech Engineers", "Rationale")</f>
        <v/>
      </c>
    </row>
    <row r="1454">
      <c r="A1454" s="0" t="s">
        <v>3541</v>
      </c>
      <c r="B1454" s="0" t="s">
        <v>3542</v>
      </c>
      <c r="C1454" s="0" t="s">
        <v>1350</v>
      </c>
      <c r="D1454" s="0">
        <f dt2D="0" dtr="0">HYPERLINK("https://www.icra.in/Rating/RatingDetails?CompanyId=0&amp;CompanyName=Multistone Granito (P) Limited", "Rationale")</f>
        <v/>
      </c>
    </row>
    <row r="1455">
      <c r="A1455" s="0" t="s">
        <v>3543</v>
      </c>
      <c r="B1455" s="0" t="s">
        <v>3544</v>
      </c>
      <c r="C1455" s="0" t="s">
        <v>236</v>
      </c>
      <c r="D1455" s="0">
        <f dt2D="0" dtr="0">HYPERLINK("https://www.icra.in/Rating/RatingDetails?CompanyId=0&amp;CompanyName=Mums Mega Food Park Private Limited", "Rationale")</f>
        <v/>
      </c>
    </row>
    <row r="1456">
      <c r="A1456" s="0" t="s">
        <v>3545</v>
      </c>
      <c r="B1456" s="0" t="s">
        <v>3546</v>
      </c>
      <c r="C1456" s="0" t="s">
        <v>3547</v>
      </c>
      <c r="D1456" s="0">
        <f dt2D="0" dtr="0">HYPERLINK("https://www.icra.in/Rating/RatingDetails?CompanyId=0&amp;CompanyName=Mundhra Jewellers Private Limited", "Rationale")</f>
        <v/>
      </c>
    </row>
    <row r="1457">
      <c r="A1457" s="0" t="s">
        <v>3548</v>
      </c>
      <c r="B1457" s="0" t="s">
        <v>3549</v>
      </c>
      <c r="C1457" s="0" t="s">
        <v>231</v>
      </c>
      <c r="D1457" s="0">
        <f dt2D="0" dtr="0">HYPERLINK("https://www.icra.in/Rating/RatingDetails?CompanyId=0&amp;CompanyName=Mundra Investments Private Limited", "Rationale")</f>
        <v/>
      </c>
    </row>
    <row r="1458">
      <c r="A1458" s="0" t="s">
        <v>3550</v>
      </c>
      <c r="B1458" s="0" t="s">
        <v>3551</v>
      </c>
      <c r="C1458" s="0" t="s">
        <v>71</v>
      </c>
      <c r="D1458" s="0">
        <f dt2D="0" dtr="0">HYPERLINK("https://www.icra.in/Rating/RatingDetails?CompanyId=0&amp;CompanyName=Murli Cold Storage Private Limited", "Rationale")</f>
        <v/>
      </c>
    </row>
    <row r="1459">
      <c r="A1459" s="0" t="s">
        <v>3552</v>
      </c>
      <c r="B1459" s="0" t="s">
        <v>3553</v>
      </c>
      <c r="C1459" s="0" t="s">
        <v>242</v>
      </c>
      <c r="D1459" s="0">
        <f dt2D="0" dtr="0">HYPERLINK("https://www.icra.in/Rating/RatingDetails?CompanyId=0&amp;CompanyName=MV &amp; Vajra Developers", "Rationale")</f>
        <v/>
      </c>
    </row>
    <row r="1460">
      <c r="A1460" s="0" t="s">
        <v>3554</v>
      </c>
      <c r="B1460" s="0" t="s">
        <v>3555</v>
      </c>
      <c r="C1460" s="0" t="s">
        <v>2166</v>
      </c>
      <c r="D1460" s="0">
        <f dt2D="0" dtr="0">HYPERLINK("https://www.icra.in/Rating/RatingDetails?CompanyId=0&amp;CompanyName=MVP Group International Inc.", "Rationale")</f>
        <v/>
      </c>
    </row>
    <row r="1461">
      <c r="A1461" s="0" t="s">
        <v>3556</v>
      </c>
      <c r="B1461" s="0" t="s">
        <v>3557</v>
      </c>
      <c r="C1461" s="0" t="s">
        <v>1917</v>
      </c>
      <c r="D1461" s="0">
        <f dt2D="0" dtr="0">HYPERLINK("https://www.icra.in/Rating/RatingDetails?CompanyId=0&amp;CompanyName=Mvr Gas", "Rationale")</f>
        <v/>
      </c>
    </row>
    <row r="1462">
      <c r="A1462" s="0" t="s">
        <v>3558</v>
      </c>
      <c r="B1462" s="0" t="s">
        <v>3559</v>
      </c>
      <c r="C1462" s="0" t="s">
        <v>2007</v>
      </c>
      <c r="D1462" s="0">
        <f dt2D="0" dtr="0">HYPERLINK("https://www.icra.in/Rating/RatingDetails?CompanyId=0&amp;CompanyName=MVV And GV Housing", "Rationale")</f>
        <v/>
      </c>
    </row>
    <row r="1463">
      <c r="A1463" s="0" t="s">
        <v>3560</v>
      </c>
      <c r="B1463" s="0" t="s">
        <v>3561</v>
      </c>
      <c r="C1463" s="0" t="s">
        <v>9</v>
      </c>
      <c r="D1463" s="0">
        <f dt2D="0" dtr="0">HYPERLINK("https://www.icra.in/Rating/RatingDetails?CompanyId=0&amp;CompanyName=N S Vaishno Devi Developers India Private Limited", "Rationale")</f>
        <v/>
      </c>
    </row>
    <row r="1464">
      <c r="A1464" s="0" t="s">
        <v>3562</v>
      </c>
      <c r="B1464" s="0" t="s">
        <v>3563</v>
      </c>
      <c r="C1464" s="0" t="s">
        <v>773</v>
      </c>
      <c r="D1464" s="0">
        <f dt2D="0" dtr="0">HYPERLINK("https://www.icra.in/Rating/RatingDetails?CompanyId=0&amp;CompanyName=N. D. Plastics", "Rationale")</f>
        <v/>
      </c>
    </row>
    <row r="1465">
      <c r="A1465" s="0" t="s">
        <v>3564</v>
      </c>
      <c r="B1465" s="0" t="s">
        <v>3565</v>
      </c>
      <c r="C1465" s="0" t="s">
        <v>3566</v>
      </c>
      <c r="D1465" s="0">
        <f dt2D="0" dtr="0">HYPERLINK("https://www.icra.in/Rating/RatingDetails?CompanyId=0&amp;CompanyName=N. Mohamed Jamaluddin", "Rationale")</f>
        <v/>
      </c>
    </row>
    <row r="1466">
      <c r="A1466" s="0" t="s">
        <v>3567</v>
      </c>
      <c r="B1466" s="0" t="s">
        <v>3568</v>
      </c>
      <c r="C1466" s="0" t="s">
        <v>1877</v>
      </c>
      <c r="D1466" s="0">
        <f dt2D="0" dtr="0">HYPERLINK("https://www.icra.in/Rating/RatingDetails?CompanyId=0&amp;CompanyName=N.B Hi-Tech Cold Storage", "Rationale")</f>
        <v/>
      </c>
    </row>
    <row r="1467">
      <c r="A1467" s="0" t="s">
        <v>3569</v>
      </c>
      <c r="B1467" s="0" t="s">
        <v>3570</v>
      </c>
      <c r="C1467" s="0" t="s">
        <v>752</v>
      </c>
      <c r="D1467" s="0">
        <f dt2D="0" dtr="0">HYPERLINK("https://www.icra.in/Rating/RatingDetails?CompanyId=0&amp;CompanyName=N.B.Cotex Pvt. Ltd.", "Rationale")</f>
        <v/>
      </c>
    </row>
    <row r="1468">
      <c r="A1468" s="0" t="s">
        <v>3571</v>
      </c>
      <c r="B1468" s="0" t="s">
        <v>3572</v>
      </c>
      <c r="C1468" s="0" t="s">
        <v>71</v>
      </c>
      <c r="D1468" s="0">
        <f dt2D="0" dtr="0">HYPERLINK("https://www.icra.in/Rating/RatingDetails?CompanyId=0&amp;CompanyName=N.K Trading Co", "Rationale")</f>
        <v/>
      </c>
    </row>
    <row r="1469">
      <c r="A1469" s="0" t="s">
        <v>3573</v>
      </c>
      <c r="B1469" s="0" t="s">
        <v>3574</v>
      </c>
      <c r="C1469" s="0" t="s">
        <v>71</v>
      </c>
      <c r="D1469" s="0">
        <f dt2D="0" dtr="0">HYPERLINK("https://www.icra.in/Rating/RatingDetails?CompanyId=0&amp;CompanyName=Nabadigant Educational Trust", "Rationale")</f>
        <v/>
      </c>
    </row>
    <row r="1470">
      <c r="A1470" s="0" t="s">
        <v>3575</v>
      </c>
      <c r="B1470" s="0" t="s">
        <v>3576</v>
      </c>
      <c r="C1470" s="0" t="s">
        <v>1335</v>
      </c>
      <c r="D1470" s="0">
        <f dt2D="0" dtr="0">HYPERLINK("https://www.icra.in/Rating/RatingDetails?CompanyId=0&amp;CompanyName=Nagarjuna Warehousing", "Rationale")</f>
        <v/>
      </c>
    </row>
    <row r="1471">
      <c r="A1471" s="0" t="s">
        <v>3577</v>
      </c>
      <c r="B1471" s="0" t="s">
        <v>3578</v>
      </c>
      <c r="C1471" s="0" t="s">
        <v>1695</v>
      </c>
      <c r="D1471" s="0">
        <f dt2D="0" dtr="0">HYPERLINK("https://www.icra.in/Rating/RatingDetails?CompanyId=0&amp;CompanyName=Nagarkurnool Municipality", "Rationale")</f>
        <v/>
      </c>
    </row>
    <row r="1472">
      <c r="A1472" s="0" t="s">
        <v>3579</v>
      </c>
      <c r="B1472" s="0" t="s">
        <v>3580</v>
      </c>
      <c r="C1472" s="0" t="s">
        <v>1674</v>
      </c>
      <c r="D1472" s="0">
        <f dt2D="0" dtr="0">HYPERLINK("https://www.icra.in/Rating/RatingDetails?CompanyId=0&amp;CompanyName=Nalari Ferro Alloys Private Limited", "Rationale")</f>
        <v/>
      </c>
    </row>
    <row r="1473">
      <c r="A1473" s="0" t="s">
        <v>3581</v>
      </c>
      <c r="B1473" s="0" t="s">
        <v>3582</v>
      </c>
      <c r="C1473" s="0" t="s">
        <v>699</v>
      </c>
      <c r="D1473" s="0">
        <f dt2D="0" dtr="0">HYPERLINK("https://www.icra.in/Rating/RatingDetails?CompanyId=0&amp;CompanyName=Nalgonda Municipality", "Rationale")</f>
        <v/>
      </c>
    </row>
    <row r="1474">
      <c r="A1474" s="0" t="s">
        <v>3583</v>
      </c>
      <c r="B1474" s="0" t="s">
        <v>3584</v>
      </c>
      <c r="C1474" s="0" t="s">
        <v>256</v>
      </c>
      <c r="D1474" s="0">
        <f dt2D="0" dtr="0">HYPERLINK("https://www.icra.in/Rating/RatingDetails?CompanyId=0&amp;CompanyName=Nallamilli Satyanarayana Reddy and Others", "Rationale")</f>
        <v/>
      </c>
    </row>
    <row r="1475">
      <c r="A1475" s="0" t="s">
        <v>3585</v>
      </c>
      <c r="B1475" s="0" t="s">
        <v>3586</v>
      </c>
      <c r="C1475" s="0" t="s">
        <v>558</v>
      </c>
      <c r="D1475" s="0">
        <f dt2D="0" dtr="0">HYPERLINK("https://www.icra.in/Rating/RatingDetails?CompanyId=0&amp;CompanyName=Namasthetu Infratech Private Limited", "Rationale")</f>
        <v/>
      </c>
    </row>
    <row r="1476">
      <c r="A1476" s="0" t="s">
        <v>3587</v>
      </c>
      <c r="B1476" s="0" t="s">
        <v>3588</v>
      </c>
      <c r="C1476" s="0" t="s">
        <v>600</v>
      </c>
      <c r="D1476" s="0">
        <f dt2D="0" dtr="0">HYPERLINK("https://www.icra.in/Rating/RatingDetails?CompanyId=0&amp;CompanyName=Nandan Saha Steel Private Limited", "Rationale")</f>
        <v/>
      </c>
    </row>
    <row r="1477">
      <c r="A1477" s="0" t="s">
        <v>3589</v>
      </c>
      <c r="B1477" s="0" t="s">
        <v>3590</v>
      </c>
      <c r="C1477" s="0" t="s">
        <v>436</v>
      </c>
      <c r="D1477" s="0">
        <f dt2D="0" dtr="0">HYPERLINK("https://www.icra.in/Rating/RatingDetails?CompanyId=0&amp;CompanyName=Nandan Sales Corporation", "Rationale")</f>
        <v/>
      </c>
    </row>
    <row r="1478">
      <c r="A1478" s="0" t="s">
        <v>3591</v>
      </c>
      <c r="B1478" s="0" t="s">
        <v>3592</v>
      </c>
      <c r="C1478" s="0" t="s">
        <v>351</v>
      </c>
      <c r="D1478" s="0">
        <f dt2D="0" dtr="0">HYPERLINK("https://www.icra.in/Rating/RatingDetails?CompanyId=0&amp;CompanyName=Nandi Irrigation Systems Limited", "Rationale")</f>
        <v/>
      </c>
    </row>
    <row r="1479">
      <c r="A1479" s="0" t="s">
        <v>3593</v>
      </c>
      <c r="B1479" s="0" t="s">
        <v>3594</v>
      </c>
      <c r="C1479" s="0" t="s">
        <v>3595</v>
      </c>
      <c r="D1479" s="0">
        <f dt2D="0" dtr="0">HYPERLINK("https://www.icra.in/Rating/RatingDetails?CompanyId=0&amp;CompanyName=Nandini Fitness Pvt. Ltd.", "Rationale")</f>
        <v/>
      </c>
    </row>
    <row r="1480">
      <c r="A1480" s="0" t="s">
        <v>3596</v>
      </c>
      <c r="B1480" s="0" t="s">
        <v>3597</v>
      </c>
      <c r="C1480" s="0" t="s">
        <v>439</v>
      </c>
      <c r="D1480" s="0">
        <f dt2D="0" dtr="0">HYPERLINK("https://www.icra.in/Rating/RatingDetails?CompanyId=0&amp;CompanyName=Nandyala Satyanarayana", "Rationale")</f>
        <v/>
      </c>
    </row>
    <row r="1481">
      <c r="A1481" s="0" t="s">
        <v>3598</v>
      </c>
      <c r="B1481" s="0" t="s">
        <v>3599</v>
      </c>
      <c r="C1481" s="0" t="s">
        <v>71</v>
      </c>
      <c r="D1481" s="0">
        <f dt2D="0" dtr="0">HYPERLINK("https://www.icra.in/Rating/RatingDetails?CompanyId=0&amp;CompanyName=Nanjappa Trust", "Rationale")</f>
        <v/>
      </c>
    </row>
    <row r="1482">
      <c r="A1482" s="0" t="s">
        <v>3600</v>
      </c>
      <c r="B1482" s="0" t="s">
        <v>3601</v>
      </c>
      <c r="C1482" s="0" t="s">
        <v>885</v>
      </c>
      <c r="D1482" s="0">
        <f dt2D="0" dtr="0">HYPERLINK("https://www.icra.in/Rating/RatingDetails?CompanyId=0&amp;CompanyName=Narasaraopet Municipality", "Rationale")</f>
        <v/>
      </c>
    </row>
    <row r="1483">
      <c r="A1483" s="0" t="s">
        <v>3602</v>
      </c>
      <c r="B1483" s="0" t="s">
        <v>3603</v>
      </c>
      <c r="C1483" s="0" t="s">
        <v>71</v>
      </c>
      <c r="D1483" s="0">
        <f dt2D="0" dtr="0">HYPERLINK("https://www.icra.in/Rating/RatingDetails?CompanyId=0&amp;CompanyName=Narayan Cold Storage (P) Ltd", "Rationale")</f>
        <v/>
      </c>
    </row>
    <row r="1484">
      <c r="A1484" s="0" t="s">
        <v>3604</v>
      </c>
      <c r="B1484" s="0" t="s">
        <v>3605</v>
      </c>
      <c r="C1484" s="0" t="s">
        <v>71</v>
      </c>
      <c r="D1484" s="0">
        <f dt2D="0" dtr="0">HYPERLINK("https://www.icra.in/Rating/RatingDetails?CompanyId=0&amp;CompanyName=Narendra Emporis Limited", "Rationale")</f>
        <v/>
      </c>
    </row>
    <row r="1485">
      <c r="A1485" s="0" t="s">
        <v>3606</v>
      </c>
      <c r="B1485" s="0" t="s">
        <v>3607</v>
      </c>
      <c r="C1485" s="0" t="s">
        <v>1343</v>
      </c>
      <c r="D1485" s="0">
        <f dt2D="0" dtr="0">HYPERLINK("https://www.icra.in/Rating/RatingDetails?CompanyId=0&amp;CompanyName=Narendra Tea Company Private Limited", "Rationale")</f>
        <v/>
      </c>
    </row>
    <row r="1486">
      <c r="A1486" s="0" t="s">
        <v>3608</v>
      </c>
      <c r="B1486" s="0" t="s">
        <v>3609</v>
      </c>
      <c r="C1486" s="0" t="s">
        <v>59</v>
      </c>
      <c r="D1486" s="0">
        <f dt2D="0" dtr="0">HYPERLINK("https://www.icra.in/Rating/RatingDetails?CompanyId=0&amp;CompanyName=Narmada Dal Mill", "Rationale")</f>
        <v/>
      </c>
    </row>
    <row r="1487">
      <c r="A1487" s="0" t="s">
        <v>3610</v>
      </c>
      <c r="B1487" s="0" t="s">
        <v>3611</v>
      </c>
      <c r="C1487" s="0" t="s">
        <v>39</v>
      </c>
      <c r="D1487" s="0">
        <f dt2D="0" dtr="0">HYPERLINK("https://www.icra.in/Rating/RatingDetails?CompanyId=0&amp;CompanyName=Narula Solvex Pvt. Ltd.", "Rationale")</f>
        <v/>
      </c>
    </row>
    <row r="1488">
      <c r="A1488" s="0" t="s">
        <v>3612</v>
      </c>
      <c r="B1488" s="0" t="s">
        <v>3613</v>
      </c>
      <c r="C1488" s="0" t="s">
        <v>71</v>
      </c>
      <c r="D1488" s="0">
        <f dt2D="0" dtr="0">HYPERLINK("https://www.icra.in/Rating/RatingDetails?CompanyId=0&amp;CompanyName=Narula Tools International", "Rationale")</f>
        <v/>
      </c>
    </row>
    <row r="1489">
      <c r="A1489" s="0" t="s">
        <v>3614</v>
      </c>
      <c r="B1489" s="0" t="s">
        <v>3615</v>
      </c>
      <c r="C1489" s="0" t="s">
        <v>3616</v>
      </c>
      <c r="D1489" s="0">
        <f dt2D="0" dtr="0">HYPERLINK("https://www.icra.in/Rating/RatingDetails?CompanyId=0&amp;CompanyName=National (India) Contractors &amp; Engineers", "Rationale")</f>
        <v/>
      </c>
    </row>
    <row r="1490">
      <c r="A1490" s="0" t="s">
        <v>3617</v>
      </c>
      <c r="B1490" s="0" t="s">
        <v>3618</v>
      </c>
      <c r="C1490" s="0" t="s">
        <v>1541</v>
      </c>
      <c r="D1490" s="0">
        <f dt2D="0" dtr="0">HYPERLINK("https://www.icra.in/Rating/RatingDetails?CompanyId=0&amp;CompanyName=National Steel and Agro Industries Limited", "Rationale")</f>
        <v/>
      </c>
    </row>
    <row r="1491">
      <c r="A1491" s="0" t="s">
        <v>3619</v>
      </c>
      <c r="B1491" s="0" t="s">
        <v>3620</v>
      </c>
      <c r="C1491" s="0" t="s">
        <v>106</v>
      </c>
      <c r="D1491" s="0">
        <f dt2D="0" dtr="0">HYPERLINK("https://www.icra.in/Rating/RatingDetails?CompanyId=0&amp;CompanyName=Natraj Industries", "Rationale")</f>
        <v/>
      </c>
    </row>
    <row r="1492">
      <c r="A1492" s="0" t="s">
        <v>3621</v>
      </c>
      <c r="B1492" s="0" t="s">
        <v>3622</v>
      </c>
      <c r="C1492" s="0" t="s">
        <v>50</v>
      </c>
      <c r="D1492" s="0">
        <f dt2D="0" dtr="0">HYPERLINK("https://www.icra.in/Rating/RatingDetails?CompanyId=0&amp;CompanyName=Natural Sugar and Allied Industries Limited", "Rationale")</f>
        <v/>
      </c>
    </row>
    <row r="1493">
      <c r="A1493" s="0" t="s">
        <v>3623</v>
      </c>
      <c r="B1493" s="0" t="s">
        <v>3624</v>
      </c>
      <c r="C1493" s="0" t="s">
        <v>71</v>
      </c>
      <c r="D1493" s="0">
        <f dt2D="0" dtr="0">HYPERLINK("https://www.icra.in/Rating/RatingDetails?CompanyId=0&amp;CompanyName=Nav Bharat Rice &amp; General Mills", "Rationale")</f>
        <v/>
      </c>
    </row>
    <row r="1494">
      <c r="A1494" s="0" t="s">
        <v>3625</v>
      </c>
      <c r="B1494" s="0" t="s">
        <v>3626</v>
      </c>
      <c r="C1494" s="0" t="s">
        <v>3627</v>
      </c>
      <c r="D1494" s="0">
        <f dt2D="0" dtr="0">HYPERLINK("https://www.icra.in/Rating/RatingDetails?CompanyId=0&amp;CompanyName=Nav Vidya Society for Education Research &amp; Training", "Rationale")</f>
        <v/>
      </c>
    </row>
    <row r="1495">
      <c r="A1495" s="0" t="s">
        <v>3628</v>
      </c>
      <c r="B1495" s="0" t="s">
        <v>3629</v>
      </c>
      <c r="C1495" s="0" t="s">
        <v>71</v>
      </c>
      <c r="D1495" s="0">
        <f dt2D="0" dtr="0">HYPERLINK("https://www.icra.in/Rating/RatingDetails?CompanyId=0&amp;CompanyName=Navalakha Translines", "Rationale")</f>
        <v/>
      </c>
    </row>
    <row r="1496">
      <c r="A1496" s="0" t="s">
        <v>3630</v>
      </c>
      <c r="B1496" s="0" t="s">
        <v>3631</v>
      </c>
      <c r="C1496" s="0" t="s">
        <v>744</v>
      </c>
      <c r="D1496" s="0">
        <f dt2D="0" dtr="0">HYPERLINK("https://www.icra.in/Rating/RatingDetails?CompanyId=0&amp;CompanyName=Navdanya Enterprises", "Rationale")</f>
        <v/>
      </c>
    </row>
    <row r="1497">
      <c r="A1497" s="0" t="s">
        <v>3632</v>
      </c>
      <c r="B1497" s="0" t="s">
        <v>3633</v>
      </c>
      <c r="C1497" s="0" t="s">
        <v>744</v>
      </c>
      <c r="D1497" s="0">
        <f dt2D="0" dtr="0">HYPERLINK("https://www.icra.in/Rating/RatingDetails?CompanyId=0&amp;CompanyName=Navdanya Foods Private Limited", "Rationale")</f>
        <v/>
      </c>
    </row>
    <row r="1498">
      <c r="A1498" s="0" t="s">
        <v>3634</v>
      </c>
      <c r="B1498" s="0" t="s">
        <v>3635</v>
      </c>
      <c r="C1498" s="0" t="s">
        <v>71</v>
      </c>
      <c r="D1498" s="0">
        <f dt2D="0" dtr="0">HYPERLINK("https://www.icra.in/Rating/RatingDetails?CompanyId=0&amp;CompanyName=Navin Cold Storage Pvt. Ltd.", "Rationale")</f>
        <v/>
      </c>
    </row>
    <row r="1499">
      <c r="A1499" s="0" t="s">
        <v>3636</v>
      </c>
      <c r="B1499" s="0" t="s">
        <v>3637</v>
      </c>
      <c r="C1499" s="0" t="s">
        <v>6</v>
      </c>
      <c r="D1499" s="0">
        <f dt2D="0" dtr="0">HYPERLINK("https://www.icra.in/Rating/RatingDetails?CompanyId=0&amp;CompanyName=Navkar Buildcon", "Rationale")</f>
        <v/>
      </c>
    </row>
    <row r="1500">
      <c r="A1500" s="0" t="s">
        <v>3638</v>
      </c>
      <c r="B1500" s="0" t="s">
        <v>3639</v>
      </c>
      <c r="C1500" s="0" t="s">
        <v>564</v>
      </c>
      <c r="D1500" s="0">
        <f dt2D="0" dtr="0">HYPERLINK("https://www.icra.in/Rating/RatingDetails?CompanyId=0&amp;CompanyName=Navneeta Steels Private Limited", "Rationale")</f>
        <v/>
      </c>
    </row>
    <row r="1501">
      <c r="A1501" s="0" t="s">
        <v>3640</v>
      </c>
      <c r="B1501" s="0" t="s">
        <v>3641</v>
      </c>
      <c r="C1501" s="0" t="s">
        <v>6</v>
      </c>
      <c r="D1501" s="0">
        <f dt2D="0" dtr="0">HYPERLINK("https://www.icra.in/Rating/RatingDetails?CompanyId=0&amp;CompanyName=Neco Heavy Engineering And Castings Limited", "Rationale")</f>
        <v/>
      </c>
    </row>
    <row r="1502">
      <c r="A1502" s="0" t="s">
        <v>3642</v>
      </c>
      <c r="B1502" s="0" t="s">
        <v>3643</v>
      </c>
      <c r="C1502" s="0" t="s">
        <v>3083</v>
      </c>
      <c r="D1502" s="0">
        <f dt2D="0" dtr="0">HYPERLINK("https://www.icra.in/Rating/RatingDetails?CompanyId=0&amp;CompanyName=Neelay Metal Industries", "Rationale")</f>
        <v/>
      </c>
    </row>
    <row r="1503">
      <c r="A1503" s="0" t="s">
        <v>3644</v>
      </c>
      <c r="B1503" s="0" t="s">
        <v>3645</v>
      </c>
      <c r="C1503" s="0" t="s">
        <v>71</v>
      </c>
      <c r="D1503" s="0">
        <f dt2D="0" dtr="0">HYPERLINK("https://www.icra.in/Rating/RatingDetails?CompanyId=0&amp;CompanyName=Neelkamal Steels Private Limited", "Rationale")</f>
        <v/>
      </c>
    </row>
    <row r="1504">
      <c r="A1504" s="0" t="s">
        <v>3646</v>
      </c>
      <c r="B1504" s="0" t="s">
        <v>3647</v>
      </c>
      <c r="C1504" s="0" t="s">
        <v>3648</v>
      </c>
      <c r="D1504" s="0">
        <f dt2D="0" dtr="0">HYPERLINK("https://www.icra.in/Rating/RatingDetails?CompanyId=0&amp;CompanyName=Neelkanth Pulp &amp; Paper Boards", "Rationale")</f>
        <v/>
      </c>
    </row>
    <row r="1505">
      <c r="A1505" s="0" t="s">
        <v>3649</v>
      </c>
      <c r="B1505" s="0" t="s">
        <v>3650</v>
      </c>
      <c r="C1505" s="0" t="s">
        <v>2835</v>
      </c>
      <c r="D1505" s="0">
        <f dt2D="0" dtr="0">HYPERLINK("https://www.icra.in/Rating/RatingDetails?CompanyId=0&amp;CompanyName=Neelson Ceramic Llp", "Rationale")</f>
        <v/>
      </c>
    </row>
    <row r="1506">
      <c r="A1506" s="0" t="s">
        <v>3651</v>
      </c>
      <c r="B1506" s="0" t="s">
        <v>3652</v>
      </c>
      <c r="C1506" s="0" t="s">
        <v>1335</v>
      </c>
      <c r="D1506" s="0">
        <f dt2D="0" dtr="0">HYPERLINK("https://www.icra.in/Rating/RatingDetails?CompanyId=0&amp;CompanyName=Neerus Ensembles Private Limited", "Rationale")</f>
        <v/>
      </c>
    </row>
    <row r="1507">
      <c r="A1507" s="0" t="s">
        <v>3653</v>
      </c>
      <c r="B1507" s="0" t="s">
        <v>3654</v>
      </c>
      <c r="C1507" s="0" t="s">
        <v>197</v>
      </c>
      <c r="D1507" s="0">
        <f dt2D="0" dtr="0">HYPERLINK("https://www.icra.in/Rating/RatingDetails?CompanyId=0&amp;CompanyName=Neeta Developer", "Rationale")</f>
        <v/>
      </c>
    </row>
    <row r="1508">
      <c r="A1508" s="0" t="s">
        <v>3655</v>
      </c>
      <c r="B1508" s="0" t="s">
        <v>3656</v>
      </c>
      <c r="C1508" s="0" t="s">
        <v>983</v>
      </c>
      <c r="D1508" s="0">
        <f dt2D="0" dtr="0">HYPERLINK("https://www.icra.in/Rating/RatingDetails?CompanyId=0&amp;CompanyName=Neo Paper Mill Private Limited", "Rationale")</f>
        <v/>
      </c>
    </row>
    <row r="1509">
      <c r="A1509" s="0" t="s">
        <v>3657</v>
      </c>
      <c r="B1509" s="0" t="s">
        <v>3658</v>
      </c>
      <c r="C1509" s="0" t="s">
        <v>2807</v>
      </c>
      <c r="D1509" s="0">
        <f dt2D="0" dtr="0">HYPERLINK("https://www.icra.in/Rating/RatingDetails?CompanyId=0&amp;CompanyName=Neogem India Limited", "Rationale")</f>
        <v/>
      </c>
    </row>
    <row r="1510">
      <c r="A1510" s="0" t="s">
        <v>3659</v>
      </c>
      <c r="B1510" s="0" t="s">
        <v>3660</v>
      </c>
      <c r="C1510" s="0" t="s">
        <v>958</v>
      </c>
      <c r="D1510" s="0">
        <f dt2D="0" dtr="0">HYPERLINK("https://www.icra.in/Rating/RatingDetails?CompanyId=0&amp;CompanyName=Neotech Education Foundation", "Rationale")</f>
        <v/>
      </c>
    </row>
    <row r="1511">
      <c r="A1511" s="0" t="s">
        <v>3661</v>
      </c>
      <c r="B1511" s="0" t="s">
        <v>3662</v>
      </c>
      <c r="C1511" s="0" t="s">
        <v>2720</v>
      </c>
      <c r="D1511" s="0">
        <f dt2D="0" dtr="0">HYPERLINK("https://www.icra.in/Rating/RatingDetails?CompanyId=0&amp;CompanyName=New Bharat Rice Mills", "Rationale")</f>
        <v/>
      </c>
    </row>
    <row r="1512">
      <c r="A1512" s="0" t="s">
        <v>3663</v>
      </c>
      <c r="B1512" s="0" t="s">
        <v>3664</v>
      </c>
      <c r="C1512" s="0" t="s">
        <v>1143</v>
      </c>
      <c r="D1512" s="0">
        <f dt2D="0" dtr="0">HYPERLINK("https://www.icra.in/Rating/RatingDetails?CompanyId=0&amp;CompanyName=New Citizen Cars", "Rationale")</f>
        <v/>
      </c>
    </row>
    <row r="1513">
      <c r="A1513" s="0" t="s">
        <v>3665</v>
      </c>
      <c r="B1513" s="0" t="s">
        <v>3666</v>
      </c>
      <c r="C1513" s="0" t="s">
        <v>71</v>
      </c>
      <c r="D1513" s="0">
        <f dt2D="0" dtr="0">HYPERLINK("https://www.icra.in/Rating/RatingDetails?CompanyId=0&amp;CompanyName=New India Roadways", "Rationale")</f>
        <v/>
      </c>
    </row>
    <row r="1514">
      <c r="A1514" s="0" t="s">
        <v>3667</v>
      </c>
      <c r="B1514" s="0" t="s">
        <v>3668</v>
      </c>
      <c r="C1514" s="0" t="s">
        <v>71</v>
      </c>
      <c r="D1514" s="0">
        <f dt2D="0" dtr="0">HYPERLINK("https://www.icra.in/Rating/RatingDetails?CompanyId=0&amp;CompanyName=New Win Win Feeds Pvt. Ltd.", "Rationale")</f>
        <v/>
      </c>
    </row>
    <row r="1515">
      <c r="A1515" s="0" t="s">
        <v>3669</v>
      </c>
      <c r="B1515" s="0" t="s">
        <v>3670</v>
      </c>
      <c r="C1515" s="0" t="s">
        <v>1588</v>
      </c>
      <c r="D1515" s="0">
        <f dt2D="0" dtr="0">HYPERLINK("https://www.icra.in/Rating/RatingDetails?CompanyId=0&amp;CompanyName=New World Landmark LLP", "Rationale")</f>
        <v/>
      </c>
    </row>
    <row r="1516">
      <c r="A1516" s="0" t="s">
        <v>3671</v>
      </c>
      <c r="B1516" s="0" t="s">
        <v>3672</v>
      </c>
      <c r="C1516" s="0" t="s">
        <v>3673</v>
      </c>
      <c r="D1516" s="0">
        <f dt2D="0" dtr="0">HYPERLINK("https://www.icra.in/Rating/RatingDetails?CompanyId=0&amp;CompanyName=Newage Laminators Private Limited", "Rationale")</f>
        <v/>
      </c>
    </row>
    <row r="1517">
      <c r="A1517" s="0" t="s">
        <v>3674</v>
      </c>
      <c r="B1517" s="0" t="s">
        <v>3675</v>
      </c>
      <c r="C1517" s="0" t="s">
        <v>3676</v>
      </c>
      <c r="D1517" s="0">
        <f dt2D="0" dtr="0">HYPERLINK("https://www.icra.in/Rating/RatingDetails?CompanyId=0&amp;CompanyName=NG Fertilizers &amp; Chemicals Private Limited", "Rationale")</f>
        <v/>
      </c>
    </row>
    <row r="1518">
      <c r="A1518" s="0" t="s">
        <v>3677</v>
      </c>
      <c r="B1518" s="0" t="s">
        <v>3678</v>
      </c>
      <c r="C1518" s="0" t="s">
        <v>92</v>
      </c>
      <c r="D1518" s="0">
        <f dt2D="0" dtr="0">HYPERLINK("https://www.icra.in/Rating/RatingDetails?CompanyId=0&amp;CompanyName=Nice Sesame Agro Industries", "Rationale")</f>
        <v/>
      </c>
    </row>
    <row r="1519">
      <c r="A1519" s="0" t="s">
        <v>3679</v>
      </c>
      <c r="B1519" s="0" t="s">
        <v>3680</v>
      </c>
      <c r="C1519" s="0" t="s">
        <v>715</v>
      </c>
      <c r="D1519" s="0">
        <f dt2D="0" dtr="0">HYPERLINK("https://www.icra.in/Rating/RatingDetails?CompanyId=0&amp;CompanyName=Nicomet Industries Limited", "Rationale")</f>
        <v/>
      </c>
    </row>
    <row r="1520">
      <c r="A1520" s="0" t="s">
        <v>3681</v>
      </c>
      <c r="B1520" s="0" t="s">
        <v>3682</v>
      </c>
      <c r="C1520" s="0" t="s">
        <v>989</v>
      </c>
      <c r="D1520" s="0">
        <f dt2D="0" dtr="0">HYPERLINK("https://www.icra.in/Rating/RatingDetails?CompanyId=0&amp;CompanyName=Nijanand Pipes And Fittings Private Limited", "Rationale")</f>
        <v/>
      </c>
    </row>
    <row r="1521">
      <c r="A1521" s="0" t="s">
        <v>3683</v>
      </c>
      <c r="B1521" s="0" t="s">
        <v>3684</v>
      </c>
      <c r="C1521" s="0" t="s">
        <v>424</v>
      </c>
      <c r="D1521" s="0">
        <f dt2D="0" dtr="0">HYPERLINK("https://www.icra.in/Rating/RatingDetails?CompanyId=0&amp;CompanyName=Nikhil Udyog", "Rationale")</f>
        <v/>
      </c>
    </row>
    <row r="1522">
      <c r="A1522" s="0" t="s">
        <v>3685</v>
      </c>
      <c r="B1522" s="0" t="s">
        <v>3686</v>
      </c>
      <c r="C1522" s="0" t="s">
        <v>1564</v>
      </c>
      <c r="D1522" s="0">
        <f dt2D="0" dtr="0">HYPERLINK("https://www.icra.in/Rating/RatingDetails?CompanyId=0&amp;CompanyName=Nilkanth Cotton industries", "Rationale")</f>
        <v/>
      </c>
    </row>
    <row r="1523">
      <c r="A1523" s="0" t="s">
        <v>3687</v>
      </c>
      <c r="B1523" s="0" t="s">
        <v>3688</v>
      </c>
      <c r="C1523" s="0" t="s">
        <v>652</v>
      </c>
      <c r="D1523" s="0">
        <f dt2D="0" dtr="0">HYPERLINK("https://www.icra.in/Rating/RatingDetails?CompanyId=0&amp;CompanyName=Nimra Educational Society", "Rationale")</f>
        <v/>
      </c>
    </row>
    <row r="1524">
      <c r="A1524" s="0" t="s">
        <v>3689</v>
      </c>
      <c r="B1524" s="0" t="s">
        <v>3690</v>
      </c>
      <c r="C1524" s="0" t="s">
        <v>558</v>
      </c>
      <c r="D1524" s="0">
        <f dt2D="0" dtr="0">HYPERLINK("https://www.icra.in/Rating/RatingDetails?CompanyId=0&amp;CompanyName=Nirav Gems", "Rationale")</f>
        <v/>
      </c>
    </row>
    <row r="1525">
      <c r="A1525" s="0" t="s">
        <v>3691</v>
      </c>
      <c r="B1525" s="0" t="s">
        <v>3692</v>
      </c>
      <c r="C1525" s="0" t="s">
        <v>552</v>
      </c>
      <c r="D1525" s="0">
        <f dt2D="0" dtr="0">HYPERLINK("https://www.icra.in/Rating/RatingDetails?CompanyId=0&amp;CompanyName=Nirmal Traders", "Rationale")</f>
        <v/>
      </c>
    </row>
    <row r="1526">
      <c r="A1526" s="0" t="s">
        <v>3693</v>
      </c>
      <c r="B1526" s="0" t="s">
        <v>3694</v>
      </c>
      <c r="C1526" s="0" t="s">
        <v>1651</v>
      </c>
      <c r="D1526" s="0">
        <f dt2D="0" dtr="0">HYPERLINK("https://www.icra.in/Rating/RatingDetails?CompanyId=0&amp;CompanyName=Nirwana Hotels and Resorts Private Limited", "Rationale")</f>
        <v/>
      </c>
    </row>
    <row r="1527">
      <c r="A1527" s="0" t="s">
        <v>3695</v>
      </c>
      <c r="B1527" s="0" t="s">
        <v>3696</v>
      </c>
      <c r="C1527" s="0" t="s">
        <v>1497</v>
      </c>
      <c r="D1527" s="0">
        <f dt2D="0" dtr="0">HYPERLINK("https://www.icra.in/Rating/RatingDetails?CompanyId=0&amp;CompanyName=Nishi Forex &amp; Leisure Pvt. Ltd.", "Rationale")</f>
        <v/>
      </c>
    </row>
    <row r="1528">
      <c r="A1528" s="0" t="s">
        <v>3697</v>
      </c>
      <c r="B1528" s="0" t="s">
        <v>3698</v>
      </c>
      <c r="C1528" s="0" t="s">
        <v>2158</v>
      </c>
      <c r="D1528" s="0">
        <f dt2D="0" dtr="0">HYPERLINK("https://www.icra.in/Rating/RatingDetails?CompanyId=0&amp;CompanyName=Nisiki India Private Limited", "Rationale")</f>
        <v/>
      </c>
    </row>
    <row r="1529">
      <c r="A1529" s="0" t="s">
        <v>3699</v>
      </c>
      <c r="B1529" s="0" t="s">
        <v>3700</v>
      </c>
      <c r="C1529" s="0" t="s">
        <v>3701</v>
      </c>
      <c r="D1529" s="0">
        <f dt2D="0" dtr="0">HYPERLINK("https://www.icra.in/Rating/RatingDetails?CompanyId=0&amp;CompanyName=Nisiki Technologies Pvt Ltd", "Rationale")</f>
        <v/>
      </c>
    </row>
    <row r="1530">
      <c r="A1530" s="0" t="s">
        <v>3702</v>
      </c>
      <c r="B1530" s="0" t="s">
        <v>3703</v>
      </c>
      <c r="C1530" s="0" t="s">
        <v>1867</v>
      </c>
      <c r="D1530" s="0">
        <f dt2D="0" dtr="0">HYPERLINK("https://www.icra.in/Rating/RatingDetails?CompanyId=0&amp;CompanyName=Nitasha Constructions", "Rationale")</f>
        <v/>
      </c>
    </row>
    <row r="1531">
      <c r="A1531" s="0" t="s">
        <v>3704</v>
      </c>
      <c r="B1531" s="0" t="s">
        <v>3705</v>
      </c>
      <c r="C1531" s="0" t="s">
        <v>71</v>
      </c>
      <c r="D1531" s="0">
        <f dt2D="0" dtr="0">HYPERLINK("https://www.icra.in/Rating/RatingDetails?CompanyId=0&amp;CompanyName=Nitesh Fashion Pvt. Ltd.", "Rationale")</f>
        <v/>
      </c>
    </row>
    <row r="1532">
      <c r="A1532" s="0" t="s">
        <v>3706</v>
      </c>
      <c r="B1532" s="0" t="s">
        <v>3707</v>
      </c>
      <c r="C1532" s="0" t="s">
        <v>747</v>
      </c>
      <c r="D1532" s="0">
        <f dt2D="0" dtr="0">HYPERLINK("https://www.icra.in/Rating/RatingDetails?CompanyId=0&amp;CompanyName=Nizamabad Municipal Corporation", "Rationale")</f>
        <v/>
      </c>
    </row>
    <row r="1533">
      <c r="A1533" s="0" t="s">
        <v>3708</v>
      </c>
      <c r="B1533" s="0" t="s">
        <v>3709</v>
      </c>
      <c r="C1533" s="0" t="s">
        <v>1222</v>
      </c>
      <c r="D1533" s="0">
        <f dt2D="0" dtr="0">HYPERLINK("https://www.icra.in/Rating/RatingDetails?CompanyId=0&amp;CompanyName=Nizampet Municipal Corporation", "Rationale")</f>
        <v/>
      </c>
    </row>
    <row r="1534">
      <c r="A1534" s="0" t="s">
        <v>3710</v>
      </c>
      <c r="B1534" s="0" t="s">
        <v>3711</v>
      </c>
      <c r="C1534" s="0" t="s">
        <v>1340</v>
      </c>
      <c r="D1534" s="0">
        <f dt2D="0" dtr="0">HYPERLINK("https://www.icra.in/Rating/RatingDetails?CompanyId=0&amp;CompanyName=NJR Constructions Pvt. Ltd.", "Rationale")</f>
        <v/>
      </c>
    </row>
    <row r="1535">
      <c r="A1535" s="0" t="s">
        <v>3712</v>
      </c>
      <c r="B1535" s="0" t="s">
        <v>3713</v>
      </c>
      <c r="C1535" s="0" t="s">
        <v>3318</v>
      </c>
      <c r="D1535" s="0">
        <f dt2D="0" dtr="0">HYPERLINK("https://www.icra.in/Rating/RatingDetails?CompanyId=0&amp;CompanyName=Noble Educational and Charitable Trust", "Rationale")</f>
        <v/>
      </c>
    </row>
    <row r="1536">
      <c r="A1536" s="0" t="s">
        <v>3714</v>
      </c>
      <c r="B1536" s="0" t="s">
        <v>3715</v>
      </c>
      <c r="C1536" s="0" t="s">
        <v>214</v>
      </c>
      <c r="D1536" s="0">
        <f dt2D="0" dtr="0">HYPERLINK("https://www.icra.in/Rating/RatingDetails?CompanyId=0&amp;CompanyName=Noble Moulds Private Limited", "Rationale")</f>
        <v/>
      </c>
    </row>
    <row r="1537">
      <c r="A1537" s="0" t="s">
        <v>3716</v>
      </c>
      <c r="B1537" s="0" t="s">
        <v>3717</v>
      </c>
      <c r="C1537" s="0" t="s">
        <v>71</v>
      </c>
      <c r="D1537" s="0">
        <f dt2D="0" dtr="0">HYPERLINK("https://www.icra.in/Rating/RatingDetails?CompanyId=0&amp;CompanyName=Nomax Electrical Steel Pvt Ltd", "Rationale")</f>
        <v/>
      </c>
    </row>
    <row r="1538">
      <c r="A1538" s="0" t="s">
        <v>3718</v>
      </c>
      <c r="B1538" s="0" t="s">
        <v>3719</v>
      </c>
      <c r="C1538" s="0" t="s">
        <v>338</v>
      </c>
      <c r="D1538" s="0">
        <f dt2D="0" dtr="0">HYPERLINK("https://www.icra.in/Rating/RatingDetails?CompanyId=0&amp;CompanyName=Nooli Jewellers", "Rationale")</f>
        <v/>
      </c>
    </row>
    <row r="1539">
      <c r="A1539" s="0" t="s">
        <v>3720</v>
      </c>
      <c r="B1539" s="0" t="s">
        <v>3721</v>
      </c>
      <c r="C1539" s="0" t="s">
        <v>223</v>
      </c>
      <c r="D1539" s="0">
        <f dt2D="0" dtr="0">HYPERLINK("https://www.icra.in/Rating/RatingDetails?CompanyId=0&amp;CompanyName=Noor Ice &amp; Cold Storage Private Limited", "Rationale")</f>
        <v/>
      </c>
    </row>
    <row r="1540">
      <c r="A1540" s="0" t="s">
        <v>3722</v>
      </c>
      <c r="B1540" s="0" t="s">
        <v>3723</v>
      </c>
      <c r="C1540" s="0" t="s">
        <v>689</v>
      </c>
      <c r="D1540" s="0">
        <f dt2D="0" dtr="0">HYPERLINK("https://www.icra.in/Rating/RatingDetails?CompanyId=0&amp;CompanyName=North India Surgical Company", "Rationale")</f>
        <v/>
      </c>
    </row>
    <row r="1541">
      <c r="A1541" s="0" t="s">
        <v>3724</v>
      </c>
      <c r="B1541" s="0" t="s">
        <v>3725</v>
      </c>
      <c r="C1541" s="0" t="s">
        <v>1391</v>
      </c>
      <c r="D1541" s="0">
        <f dt2D="0" dtr="0">HYPERLINK("https://www.icra.in/Rating/RatingDetails?CompanyId=0&amp;CompanyName=North Western Karnataka Road Transport Corporation", "Rationale")</f>
        <v/>
      </c>
    </row>
    <row r="1542">
      <c r="A1542" s="0" t="s">
        <v>3726</v>
      </c>
      <c r="B1542" s="0" t="s">
        <v>3727</v>
      </c>
      <c r="C1542" s="0" t="s">
        <v>1231</v>
      </c>
      <c r="D1542" s="0">
        <f dt2D="0" dtr="0">HYPERLINK("https://www.icra.in/Rating/RatingDetails?CompanyId=0&amp;CompanyName=Notto Granito LLP", "Rationale")</f>
        <v/>
      </c>
    </row>
    <row r="1543">
      <c r="A1543" s="0" t="s">
        <v>3728</v>
      </c>
      <c r="B1543" s="0" t="s">
        <v>3729</v>
      </c>
      <c r="C1543" s="0" t="s">
        <v>1437</v>
      </c>
      <c r="D1543" s="0">
        <f dt2D="0" dtr="0">HYPERLINK("https://www.icra.in/Rating/RatingDetails?CompanyId=0&amp;CompanyName=Nova Carbons India Private Limited", "Rationale")</f>
        <v/>
      </c>
    </row>
    <row r="1544">
      <c r="A1544" s="0" t="s">
        <v>3730</v>
      </c>
      <c r="B1544" s="0" t="s">
        <v>3731</v>
      </c>
      <c r="C1544" s="0" t="s">
        <v>71</v>
      </c>
      <c r="D1544" s="0">
        <f dt2D="0" dtr="0">HYPERLINK("https://www.icra.in/Rating/RatingDetails?CompanyId=0&amp;CompanyName=NSN Reddy Rice Industry", "Rationale")</f>
        <v/>
      </c>
    </row>
    <row r="1545">
      <c r="A1545" s="0" t="s">
        <v>3732</v>
      </c>
      <c r="B1545" s="0" t="s">
        <v>3733</v>
      </c>
      <c r="C1545" s="0" t="s">
        <v>3734</v>
      </c>
      <c r="D1545" s="0">
        <f dt2D="0" dtr="0">HYPERLINK("https://www.icra.in/Rating/RatingDetails?CompanyId=0&amp;CompanyName=Nu-Chem Oils Pvt. Ltd.", "Rationale")</f>
        <v/>
      </c>
    </row>
    <row r="1546">
      <c r="A1546" s="0" t="s">
        <v>3735</v>
      </c>
      <c r="B1546" s="0" t="s">
        <v>3736</v>
      </c>
      <c r="C1546" s="0" t="s">
        <v>511</v>
      </c>
      <c r="D1546" s="0">
        <f dt2D="0" dtr="0">HYPERLINK("https://www.icra.in/Rating/RatingDetails?CompanyId=0&amp;CompanyName=Nucon Pneumatics Private Limited", "Rationale")</f>
        <v/>
      </c>
    </row>
    <row r="1547">
      <c r="A1547" s="0" t="s">
        <v>3737</v>
      </c>
      <c r="B1547" s="0" t="s">
        <v>3738</v>
      </c>
      <c r="C1547" s="0" t="s">
        <v>50</v>
      </c>
      <c r="D1547" s="0">
        <f dt2D="0" dtr="0">HYPERLINK("https://www.icra.in/Rating/RatingDetails?CompanyId=0&amp;CompanyName=Nuevo Polymers Private Limited", "Rationale")</f>
        <v/>
      </c>
    </row>
    <row r="1548">
      <c r="A1548" s="0" t="s">
        <v>3739</v>
      </c>
      <c r="B1548" s="0" t="s">
        <v>3740</v>
      </c>
      <c r="C1548" s="0" t="s">
        <v>71</v>
      </c>
      <c r="D1548" s="0">
        <f dt2D="0" dtr="0">HYPERLINK("https://www.icra.in/Rating/RatingDetails?CompanyId=0&amp;CompanyName=Nuevosol Energy Private Limited", "Rationale")</f>
        <v/>
      </c>
    </row>
    <row r="1549">
      <c r="A1549" s="0" t="s">
        <v>3741</v>
      </c>
      <c r="B1549" s="0" t="s">
        <v>3742</v>
      </c>
      <c r="C1549" s="0" t="s">
        <v>405</v>
      </c>
      <c r="D1549" s="0">
        <f dt2D="0" dtr="0">HYPERLINK("https://www.icra.in/Rating/RatingDetails?CompanyId=0&amp;CompanyName=Nupur Carpets", "Rationale")</f>
        <v/>
      </c>
    </row>
    <row r="1550">
      <c r="A1550" s="0" t="s">
        <v>3743</v>
      </c>
      <c r="B1550" s="0" t="s">
        <v>3744</v>
      </c>
      <c r="C1550" s="0" t="s">
        <v>1914</v>
      </c>
      <c r="D1550" s="0">
        <f dt2D="0" dtr="0">HYPERLINK("https://www.icra.in/Rating/RatingDetails?CompanyId=0&amp;CompanyName=Nuway Organic Naturals (India) Limited", "Rationale")</f>
        <v/>
      </c>
    </row>
    <row r="1551">
      <c r="A1551" s="0" t="s">
        <v>3745</v>
      </c>
      <c r="B1551" s="0" t="s">
        <v>3746</v>
      </c>
      <c r="C1551" s="0" t="s">
        <v>81</v>
      </c>
      <c r="D1551" s="0">
        <f dt2D="0" dtr="0">HYPERLINK("https://www.icra.in/Rating/RatingDetails?CompanyId=0&amp;CompanyName=Ocean Constructions (India) Private Limited", "Rationale")</f>
        <v/>
      </c>
    </row>
    <row r="1552">
      <c r="A1552" s="0" t="s">
        <v>3747</v>
      </c>
      <c r="B1552" s="0" t="s">
        <v>3748</v>
      </c>
      <c r="C1552" s="0" t="s">
        <v>3749</v>
      </c>
      <c r="D1552" s="0">
        <f dt2D="0" dtr="0">HYPERLINK("https://www.icra.in/Rating/RatingDetails?CompanyId=0&amp;CompanyName=Ocean Pearl Hotels Private Limited", "Rationale")</f>
        <v/>
      </c>
    </row>
    <row r="1553">
      <c r="A1553" s="0" t="s">
        <v>3750</v>
      </c>
      <c r="B1553" s="0" t="s">
        <v>3751</v>
      </c>
      <c r="C1553" s="0" t="s">
        <v>3752</v>
      </c>
      <c r="D1553" s="0">
        <f dt2D="0" dtr="0">HYPERLINK("https://www.icra.in/Rating/RatingDetails?CompanyId=0&amp;CompanyName=Okinawa Autotech Internationall Private Limited", "Rationale")</f>
        <v/>
      </c>
    </row>
    <row r="1554">
      <c r="A1554" s="0" t="s">
        <v>3753</v>
      </c>
      <c r="B1554" s="0" t="s">
        <v>3754</v>
      </c>
      <c r="C1554" s="0" t="s">
        <v>3755</v>
      </c>
      <c r="D1554" s="0">
        <f dt2D="0" dtr="0">HYPERLINK("https://www.icra.in/Rating/RatingDetails?CompanyId=0&amp;CompanyName=Om Construction Companies India Private Limited (formerly known as Om Construction Company)", "Rationale")</f>
        <v/>
      </c>
    </row>
    <row r="1555">
      <c r="A1555" s="0" t="s">
        <v>3756</v>
      </c>
      <c r="B1555" s="0" t="s">
        <v>3757</v>
      </c>
      <c r="C1555" s="0" t="s">
        <v>2428</v>
      </c>
      <c r="D1555" s="0">
        <f dt2D="0" dtr="0">HYPERLINK("https://www.icra.in/Rating/RatingDetails?CompanyId=0&amp;CompanyName=Om Corrugated Pack Private Limited", "Rationale")</f>
        <v/>
      </c>
    </row>
    <row r="1556">
      <c r="A1556" s="0" t="s">
        <v>3758</v>
      </c>
      <c r="B1556" s="0" t="s">
        <v>3759</v>
      </c>
      <c r="C1556" s="0" t="s">
        <v>71</v>
      </c>
      <c r="D1556" s="0">
        <f dt2D="0" dtr="0">HYPERLINK("https://www.icra.in/Rating/RatingDetails?CompanyId=0&amp;CompanyName=Om Cotton &amp; Oil Industries", "Rationale")</f>
        <v/>
      </c>
    </row>
    <row r="1557">
      <c r="A1557" s="0" t="s">
        <v>3760</v>
      </c>
      <c r="B1557" s="0" t="s">
        <v>3761</v>
      </c>
      <c r="C1557" s="0" t="s">
        <v>372</v>
      </c>
      <c r="D1557" s="0">
        <f dt2D="0" dtr="0">HYPERLINK("https://www.icra.in/Rating/RatingDetails?CompanyId=0&amp;CompanyName=Om Foods Suppliers Pvt. Ltd.", "Rationale")</f>
        <v/>
      </c>
    </row>
    <row r="1558">
      <c r="A1558" s="0" t="s">
        <v>3762</v>
      </c>
      <c r="B1558" s="0" t="s">
        <v>3763</v>
      </c>
      <c r="C1558" s="0" t="s">
        <v>71</v>
      </c>
      <c r="D1558" s="0">
        <f dt2D="0" dtr="0">HYPERLINK("https://www.icra.in/Rating/RatingDetails?CompanyId=0&amp;CompanyName=Om Ginning And Pressing Factory", "Rationale")</f>
        <v/>
      </c>
    </row>
    <row r="1559">
      <c r="A1559" s="0" t="s">
        <v>3764</v>
      </c>
      <c r="B1559" s="0" t="s">
        <v>3765</v>
      </c>
      <c r="C1559" s="0" t="s">
        <v>643</v>
      </c>
      <c r="D1559" s="0">
        <f dt2D="0" dtr="0">HYPERLINK("https://www.icra.in/Rating/RatingDetails?CompanyId=0&amp;CompanyName=Om Threads Limited", "Rationale")</f>
        <v/>
      </c>
    </row>
    <row r="1560">
      <c r="A1560" s="0" t="s">
        <v>3766</v>
      </c>
      <c r="B1560" s="0" t="s">
        <v>3767</v>
      </c>
      <c r="C1560" s="0" t="s">
        <v>3768</v>
      </c>
      <c r="D1560" s="0">
        <f dt2D="0" dtr="0">HYPERLINK("https://www.icra.in/Rating/RatingDetails?CompanyId=0&amp;CompanyName=OM Trading Company", "Rationale")</f>
        <v/>
      </c>
    </row>
    <row r="1561">
      <c r="A1561" s="0" t="s">
        <v>3769</v>
      </c>
      <c r="B1561" s="0" t="s">
        <v>3770</v>
      </c>
      <c r="C1561" s="0" t="s">
        <v>514</v>
      </c>
      <c r="D1561" s="0">
        <f dt2D="0" dtr="0">HYPERLINK("https://www.icra.in/Rating/RatingDetails?CompanyId=0&amp;CompanyName=Ome Sree Sai Ganesh Poultries", "Rationale")</f>
        <v/>
      </c>
    </row>
    <row r="1562">
      <c r="A1562" s="0" t="s">
        <v>3771</v>
      </c>
      <c r="B1562" s="0" t="s">
        <v>3772</v>
      </c>
      <c r="C1562" s="0" t="s">
        <v>71</v>
      </c>
      <c r="D1562" s="0">
        <f dt2D="0" dtr="0">HYPERLINK("https://www.icra.in/Rating/RatingDetails?CompanyId=0&amp;CompanyName=Omexo Tiles", "Rationale")</f>
        <v/>
      </c>
    </row>
    <row r="1563">
      <c r="A1563" s="0" t="s">
        <v>3773</v>
      </c>
      <c r="B1563" s="0" t="s">
        <v>3774</v>
      </c>
      <c r="C1563" s="0" t="s">
        <v>92</v>
      </c>
      <c r="D1563" s="0">
        <f dt2D="0" dtr="0">HYPERLINK("https://www.icra.in/Rating/RatingDetails?CompanyId=0&amp;CompanyName=Omkar Fabrics Private Limited", "Rationale")</f>
        <v/>
      </c>
    </row>
    <row r="1564">
      <c r="A1564" s="0" t="s">
        <v>3775</v>
      </c>
      <c r="B1564" s="0" t="s">
        <v>3776</v>
      </c>
      <c r="C1564" s="0" t="s">
        <v>3777</v>
      </c>
      <c r="D1564" s="0">
        <f dt2D="0" dtr="0">HYPERLINK("https://www.icra.in/Rating/RatingDetails?CompanyId=0&amp;CompanyName=Omkar Fertilisers Private Limited", "Rationale")</f>
        <v/>
      </c>
    </row>
    <row r="1565">
      <c r="A1565" s="0" t="s">
        <v>3778</v>
      </c>
      <c r="B1565" s="0" t="s">
        <v>3779</v>
      </c>
      <c r="C1565" s="0" t="s">
        <v>3780</v>
      </c>
      <c r="D1565" s="0">
        <f dt2D="0" dtr="0">HYPERLINK("https://www.icra.in/Rating/RatingDetails?CompanyId=0&amp;CompanyName=Omkar Infratech Limited", "Rationale")</f>
        <v/>
      </c>
    </row>
    <row r="1566">
      <c r="A1566" s="0" t="s">
        <v>3781</v>
      </c>
      <c r="B1566" s="0" t="s">
        <v>3782</v>
      </c>
      <c r="C1566" s="0" t="s">
        <v>1497</v>
      </c>
      <c r="D1566" s="0">
        <f dt2D="0" dtr="0">HYPERLINK("https://www.icra.in/Rating/RatingDetails?CompanyId=0&amp;CompanyName=One Capitall Limited", "Rationale")</f>
        <v/>
      </c>
    </row>
    <row r="1567">
      <c r="A1567" s="0" t="s">
        <v>3783</v>
      </c>
      <c r="B1567" s="0" t="s">
        <v>3784</v>
      </c>
      <c r="C1567" s="0" t="s">
        <v>1970</v>
      </c>
      <c r="D1567" s="0">
        <f dt2D="0" dtr="0">HYPERLINK("https://www.icra.in/Rating/RatingDetails?CompanyId=0&amp;CompanyName=Ongole Municipal Corporation", "Rationale")</f>
        <v/>
      </c>
    </row>
    <row r="1568">
      <c r="A1568" s="0" t="s">
        <v>3785</v>
      </c>
      <c r="B1568" s="0" t="s">
        <v>3786</v>
      </c>
      <c r="C1568" s="0" t="s">
        <v>3787</v>
      </c>
      <c r="D1568" s="0">
        <f dt2D="0" dtr="0">HYPERLINK("https://www.icra.in/Rating/RatingDetails?CompanyId=0&amp;CompanyName=Optics &amp; Allied Engg Pvt. Ltd", "Rationale")</f>
        <v/>
      </c>
    </row>
    <row r="1569">
      <c r="A1569" s="0" t="s">
        <v>3788</v>
      </c>
      <c r="B1569" s="0" t="s">
        <v>3789</v>
      </c>
      <c r="C1569" s="0" t="s">
        <v>3318</v>
      </c>
      <c r="D1569" s="0">
        <f dt2D="0" dtr="0">HYPERLINK("https://www.icra.in/Rating/RatingDetails?CompanyId=0&amp;CompanyName=Orange Ceramics", "Rationale")</f>
        <v/>
      </c>
    </row>
    <row r="1570">
      <c r="A1570" s="0" t="s">
        <v>3790</v>
      </c>
      <c r="B1570" s="0" t="s">
        <v>3791</v>
      </c>
      <c r="C1570" s="0" t="s">
        <v>71</v>
      </c>
      <c r="D1570" s="0">
        <f dt2D="0" dtr="0">HYPERLINK("https://www.icra.in/Rating/RatingDetails?CompanyId=0&amp;CompanyName=Orange Infracon Private Limited", "Rationale")</f>
        <v/>
      </c>
    </row>
    <row r="1571">
      <c r="A1571" s="0" t="s">
        <v>3792</v>
      </c>
      <c r="B1571" s="0" t="s">
        <v>3793</v>
      </c>
      <c r="C1571" s="0" t="s">
        <v>71</v>
      </c>
      <c r="D1571" s="0">
        <f dt2D="0" dtr="0">HYPERLINK("https://www.icra.in/Rating/RatingDetails?CompanyId=0&amp;CompanyName=Oriental Sales Corporation", "Rationale")</f>
        <v/>
      </c>
    </row>
    <row r="1572">
      <c r="A1572" s="0" t="s">
        <v>3794</v>
      </c>
      <c r="B1572" s="0" t="s">
        <v>3795</v>
      </c>
      <c r="C1572" s="0" t="s">
        <v>1832</v>
      </c>
      <c r="D1572" s="0">
        <f dt2D="0" dtr="0">HYPERLINK("https://www.icra.in/Rating/RatingDetails?CompanyId=0&amp;CompanyName=Orissa Concrete &amp; Allied Industries Ltd.", "Rationale")</f>
        <v/>
      </c>
    </row>
    <row r="1573">
      <c r="A1573" s="0" t="s">
        <v>3796</v>
      </c>
      <c r="B1573" s="0" t="s">
        <v>3797</v>
      </c>
      <c r="C1573" s="0" t="s">
        <v>1030</v>
      </c>
      <c r="D1573" s="0">
        <f dt2D="0" dtr="0">HYPERLINK("https://www.icra.in/Rating/RatingDetails?CompanyId=0&amp;CompanyName=Orix Packaging Private Limited", "Rationale")</f>
        <v/>
      </c>
    </row>
    <row r="1574">
      <c r="A1574" s="0" t="s">
        <v>3798</v>
      </c>
      <c r="B1574" s="0" t="s">
        <v>3799</v>
      </c>
      <c r="C1574" s="0" t="s">
        <v>1917</v>
      </c>
      <c r="D1574" s="0">
        <f dt2D="0" dtr="0">HYPERLINK("https://www.icra.in/Rating/RatingDetails?CompanyId=0&amp;CompanyName=Oshina Expo Pvt Ltd", "Rationale")</f>
        <v/>
      </c>
    </row>
    <row r="1575">
      <c r="A1575" s="0" t="s">
        <v>3800</v>
      </c>
      <c r="B1575" s="0" t="s">
        <v>3801</v>
      </c>
      <c r="C1575" s="0" t="s">
        <v>3404</v>
      </c>
      <c r="D1575" s="0">
        <f dt2D="0" dtr="0">HYPERLINK("https://www.icra.in/Rating/RatingDetails?CompanyId=0&amp;CompanyName=Oshiya Industries Private Limited", "Rationale")</f>
        <v/>
      </c>
    </row>
    <row r="1576">
      <c r="A1576" s="0" t="s">
        <v>3802</v>
      </c>
      <c r="B1576" s="0" t="s">
        <v>3803</v>
      </c>
      <c r="C1576" s="0" t="s">
        <v>18</v>
      </c>
      <c r="D1576" s="0">
        <f dt2D="0" dtr="0">HYPERLINK("https://www.icra.in/Rating/RatingDetails?CompanyId=0&amp;CompanyName=Our Co. Infrastructure Developers Private Limited", "Rationale")</f>
        <v/>
      </c>
    </row>
    <row r="1577">
      <c r="A1577" s="0" t="s">
        <v>3804</v>
      </c>
      <c r="B1577" s="0" t="s">
        <v>3805</v>
      </c>
      <c r="C1577" s="0" t="s">
        <v>1497</v>
      </c>
      <c r="D1577" s="0">
        <f dt2D="0" dtr="0">HYPERLINK("https://www.icra.in/Rating/RatingDetails?CompanyId=0&amp;CompanyName=Overseas Traders", "Rationale")</f>
        <v/>
      </c>
    </row>
    <row r="1578">
      <c r="A1578" s="0" t="s">
        <v>3806</v>
      </c>
      <c r="B1578" s="0" t="s">
        <v>3807</v>
      </c>
      <c r="C1578" s="0" t="s">
        <v>2387</v>
      </c>
      <c r="D1578" s="0">
        <f dt2D="0" dtr="0">HYPERLINK("https://www.icra.in/Rating/RatingDetails?CompanyId=0&amp;CompanyName=Ovis Equipments Private Limited", "Rationale")</f>
        <v/>
      </c>
    </row>
    <row r="1579">
      <c r="A1579" s="0" t="s">
        <v>3808</v>
      </c>
      <c r="B1579" s="0" t="s">
        <v>3809</v>
      </c>
      <c r="C1579" s="0" t="s">
        <v>583</v>
      </c>
      <c r="D1579" s="0">
        <f dt2D="0" dtr="0">HYPERLINK("https://www.icra.in/Rating/RatingDetails?CompanyId=0&amp;CompanyName=Oyo Ceramic Pvt. Ltd.", "Rationale")</f>
        <v/>
      </c>
    </row>
    <row r="1580">
      <c r="A1580" s="0" t="s">
        <v>3810</v>
      </c>
      <c r="B1580" s="0" t="s">
        <v>3811</v>
      </c>
      <c r="C1580" s="0" t="s">
        <v>1684</v>
      </c>
      <c r="D1580" s="0">
        <f dt2D="0" dtr="0">HYPERLINK("https://www.icra.in/Rating/RatingDetails?CompanyId=0&amp;CompanyName=P C Patel Infra Private Limited", "Rationale")</f>
        <v/>
      </c>
    </row>
    <row r="1581">
      <c r="A1581" s="0" t="s">
        <v>3812</v>
      </c>
      <c r="B1581" s="0" t="s">
        <v>3813</v>
      </c>
      <c r="C1581" s="0" t="s">
        <v>1509</v>
      </c>
      <c r="D1581" s="0">
        <f dt2D="0" dtr="0">HYPERLINK("https://www.icra.in/Rating/RatingDetails?CompanyId=0&amp;CompanyName=P N Rao", "Rationale")</f>
        <v/>
      </c>
    </row>
    <row r="1582">
      <c r="A1582" s="0" t="s">
        <v>3814</v>
      </c>
      <c r="B1582" s="0" t="s">
        <v>3815</v>
      </c>
      <c r="C1582" s="0" t="s">
        <v>21</v>
      </c>
      <c r="D1582" s="0">
        <f dt2D="0" dtr="0">HYPERLINK("https://www.icra.in/Rating/RatingDetails?CompanyId=0&amp;CompanyName=P. D. Shah and Sons", "Rationale")</f>
        <v/>
      </c>
    </row>
    <row r="1583">
      <c r="A1583" s="0" t="s">
        <v>3816</v>
      </c>
      <c r="B1583" s="0" t="s">
        <v>3817</v>
      </c>
      <c r="C1583" s="0" t="s">
        <v>160</v>
      </c>
      <c r="D1583" s="0">
        <f dt2D="0" dtr="0">HYPERLINK("https://www.icra.in/Rating/RatingDetails?CompanyId=0&amp;CompanyName=P. Dasaratharama Reddy", "Rationale")</f>
        <v/>
      </c>
    </row>
    <row r="1584">
      <c r="A1584" s="0" t="s">
        <v>3818</v>
      </c>
      <c r="B1584" s="0" t="s">
        <v>3819</v>
      </c>
      <c r="C1584" s="0" t="s">
        <v>3820</v>
      </c>
      <c r="D1584" s="0">
        <f dt2D="0" dtr="0">HYPERLINK("https://www.icra.in/Rating/RatingDetails?CompanyId=0&amp;CompanyName=P.K. Mookanambalam &amp; Co.", "Rationale")</f>
        <v/>
      </c>
    </row>
    <row r="1585">
      <c r="A1585" s="0" t="s">
        <v>3821</v>
      </c>
      <c r="B1585" s="0" t="s">
        <v>3822</v>
      </c>
      <c r="C1585" s="0" t="s">
        <v>3823</v>
      </c>
      <c r="D1585" s="0">
        <f dt2D="0" dtr="0">HYPERLINK("https://www.icra.in/Rating/RatingDetails?CompanyId=0&amp;CompanyName=P.K.M. PROJECTS PRIVATE LIMITED", "Rationale")</f>
        <v/>
      </c>
    </row>
    <row r="1586">
      <c r="A1586" s="0" t="s">
        <v>3824</v>
      </c>
      <c r="B1586" s="0" t="s">
        <v>3825</v>
      </c>
      <c r="C1586" s="0" t="s">
        <v>394</v>
      </c>
      <c r="D1586" s="0">
        <f dt2D="0" dtr="0">HYPERLINK("https://www.icra.in/Rating/RatingDetails?CompanyId=0&amp;CompanyName=P.P. Polyplast Private Limited", "Rationale")</f>
        <v/>
      </c>
    </row>
    <row r="1587">
      <c r="A1587" s="0" t="s">
        <v>3826</v>
      </c>
      <c r="B1587" s="0" t="s">
        <v>3827</v>
      </c>
      <c r="C1587" s="0" t="s">
        <v>3828</v>
      </c>
      <c r="D1587" s="0">
        <f dt2D="0" dtr="0">HYPERLINK("https://www.icra.in/Rating/RatingDetails?CompanyId=0&amp;CompanyName=P.S.R. Granites", "Rationale")</f>
        <v/>
      </c>
    </row>
    <row r="1588">
      <c r="A1588" s="0" t="s">
        <v>3829</v>
      </c>
      <c r="B1588" s="0" t="s">
        <v>3830</v>
      </c>
      <c r="C1588" s="0" t="s">
        <v>3828</v>
      </c>
      <c r="D1588" s="0">
        <f dt2D="0" dtr="0">HYPERLINK("https://www.icra.in/Rating/RatingDetails?CompanyId=0&amp;CompanyName=P.S.R. Granites Pvt. Ltd.", "Rationale")</f>
        <v/>
      </c>
    </row>
    <row r="1589">
      <c r="A1589" s="0" t="s">
        <v>3831</v>
      </c>
      <c r="B1589" s="0" t="s">
        <v>3832</v>
      </c>
      <c r="C1589" s="0" t="s">
        <v>324</v>
      </c>
      <c r="D1589" s="0">
        <f dt2D="0" dtr="0">HYPERLINK("https://www.icra.in/Rating/RatingDetails?CompanyId=0&amp;CompanyName=Paari Chem Resources", "Rationale")</f>
        <v/>
      </c>
    </row>
    <row r="1590">
      <c r="A1590" s="0" t="s">
        <v>3833</v>
      </c>
      <c r="B1590" s="0" t="s">
        <v>3834</v>
      </c>
      <c r="C1590" s="0" t="s">
        <v>1248</v>
      </c>
      <c r="D1590" s="0">
        <f dt2D="0" dtr="0">HYPERLINK("https://www.icra.in/Rating/RatingDetails?CompanyId=0&amp;CompanyName=Pacific Garments Pvt. Ltd.", "Rationale")</f>
        <v/>
      </c>
    </row>
    <row r="1591">
      <c r="A1591" s="0" t="s">
        <v>3835</v>
      </c>
      <c r="B1591" s="0" t="s">
        <v>3836</v>
      </c>
      <c r="C1591" s="0" t="s">
        <v>561</v>
      </c>
      <c r="D1591" s="0">
        <f dt2D="0" dtr="0">HYPERLINK("https://www.icra.in/Rating/RatingDetails?CompanyId=0&amp;CompanyName=Padia Exports Private Limited", "Rationale")</f>
        <v/>
      </c>
    </row>
    <row r="1592">
      <c r="A1592" s="0" t="s">
        <v>3837</v>
      </c>
      <c r="B1592" s="0" t="s">
        <v>3838</v>
      </c>
      <c r="C1592" s="0" t="s">
        <v>2375</v>
      </c>
      <c r="D1592" s="0">
        <f dt2D="0" dtr="0">HYPERLINK("https://www.icra.in/Rating/RatingDetails?CompanyId=0&amp;CompanyName=Padigela Ginning Industries", "Rationale")</f>
        <v/>
      </c>
    </row>
    <row r="1593">
      <c r="A1593" s="0" t="s">
        <v>3839</v>
      </c>
      <c r="B1593" s="0" t="s">
        <v>3840</v>
      </c>
      <c r="C1593" s="0" t="s">
        <v>558</v>
      </c>
      <c r="D1593" s="0">
        <f dt2D="0" dtr="0">HYPERLINK("https://www.icra.in/Rating/RatingDetails?CompanyId=0&amp;CompanyName=Padma Gems", "Rationale")</f>
        <v/>
      </c>
    </row>
    <row r="1594">
      <c r="A1594" s="0" t="s">
        <v>3841</v>
      </c>
      <c r="B1594" s="0" t="s">
        <v>3842</v>
      </c>
      <c r="C1594" s="0" t="s">
        <v>1212</v>
      </c>
      <c r="D1594" s="0">
        <f dt2D="0" dtr="0">HYPERLINK("https://www.icra.in/Rating/RatingDetails?CompanyId=0&amp;CompanyName=Padma Polymers", "Rationale")</f>
        <v/>
      </c>
    </row>
    <row r="1595">
      <c r="A1595" s="0" t="s">
        <v>3843</v>
      </c>
      <c r="B1595" s="0" t="s">
        <v>3844</v>
      </c>
      <c r="C1595" s="0" t="s">
        <v>3845</v>
      </c>
      <c r="D1595" s="0">
        <f dt2D="0" dtr="0">HYPERLINK("https://www.icra.in/Rating/RatingDetails?CompanyId=0&amp;CompanyName=Padmabhushan Krantiveer Doctor Nagnathanna Naykawdi Hutatma Kisan Ahir Sahakari Sakhar Karkhana Limited", "Rationale")</f>
        <v/>
      </c>
    </row>
    <row r="1596">
      <c r="A1596" s="0" t="s">
        <v>3846</v>
      </c>
      <c r="B1596" s="0" t="s">
        <v>3847</v>
      </c>
      <c r="C1596" s="0" t="s">
        <v>100</v>
      </c>
      <c r="D1596" s="0">
        <f dt2D="0" dtr="0">HYPERLINK("https://www.icra.in/Rating/RatingDetails?CompanyId=0&amp;CompanyName=Padmaja Farms", "Rationale")</f>
        <v/>
      </c>
    </row>
    <row r="1597">
      <c r="A1597" s="0" t="s">
        <v>3848</v>
      </c>
      <c r="B1597" s="0" t="s">
        <v>3849</v>
      </c>
      <c r="C1597" s="0" t="s">
        <v>3850</v>
      </c>
      <c r="D1597" s="0">
        <f dt2D="0" dtr="0">HYPERLINK("https://www.icra.in/Rating/RatingDetails?CompanyId=0&amp;CompanyName=Padmasri Rice Mill", "Rationale")</f>
        <v/>
      </c>
    </row>
    <row r="1598">
      <c r="A1598" s="0" t="s">
        <v>3851</v>
      </c>
      <c r="B1598" s="0" t="s">
        <v>3852</v>
      </c>
      <c r="C1598" s="0" t="s">
        <v>1718</v>
      </c>
      <c r="D1598" s="0">
        <f dt2D="0" dtr="0">HYPERLINK("https://www.icra.in/Rating/RatingDetails?CompanyId=0&amp;CompanyName=Padmavathi Cotton Industries", "Rationale")</f>
        <v/>
      </c>
    </row>
    <row r="1599">
      <c r="A1599" s="0" t="s">
        <v>3853</v>
      </c>
      <c r="B1599" s="0" t="s">
        <v>3854</v>
      </c>
      <c r="C1599" s="0" t="s">
        <v>3855</v>
      </c>
      <c r="D1599" s="0">
        <f dt2D="0" dtr="0">HYPERLINK("https://www.icra.in/Rating/RatingDetails?CompanyId=0&amp;CompanyName=Pagro Frozen Foods Private Limited", "Rationale")</f>
        <v/>
      </c>
    </row>
    <row r="1600">
      <c r="A1600" s="0" t="s">
        <v>3856</v>
      </c>
      <c r="B1600" s="0" t="s">
        <v>3857</v>
      </c>
      <c r="C1600" s="0" t="s">
        <v>281</v>
      </c>
      <c r="D1600" s="0">
        <f dt2D="0" dtr="0">HYPERLINK("https://www.icra.in/Rating/RatingDetails?CompanyId=0&amp;CompanyName=Paidala Thirupathi Reddy and Brothers", "Rationale")</f>
        <v/>
      </c>
    </row>
    <row r="1601">
      <c r="A1601" s="0" t="s">
        <v>3858</v>
      </c>
      <c r="B1601" s="0" t="s">
        <v>3859</v>
      </c>
      <c r="C1601" s="0" t="s">
        <v>1006</v>
      </c>
      <c r="D1601" s="0">
        <f dt2D="0" dtr="0">HYPERLINK("https://www.icra.in/Rating/RatingDetails?CompanyId=0&amp;CompanyName=Pal Synthetics Limited", "Rationale")</f>
        <v/>
      </c>
    </row>
    <row r="1602">
      <c r="A1602" s="0" t="s">
        <v>3860</v>
      </c>
      <c r="B1602" s="0" t="s">
        <v>3861</v>
      </c>
      <c r="C1602" s="0" t="s">
        <v>427</v>
      </c>
      <c r="D1602" s="0">
        <f dt2D="0" dtr="0">HYPERLINK("https://www.icra.in/Rating/RatingDetails?CompanyId=0&amp;CompanyName=Palak Ferro Alloys", "Rationale")</f>
        <v/>
      </c>
    </row>
    <row r="1603">
      <c r="A1603" s="0" t="s">
        <v>3862</v>
      </c>
      <c r="B1603" s="0" t="s">
        <v>3863</v>
      </c>
      <c r="C1603" s="0" t="s">
        <v>50</v>
      </c>
      <c r="D1603" s="0">
        <f dt2D="0" dtr="0">HYPERLINK("https://www.icra.in/Rating/RatingDetails?CompanyId=0&amp;CompanyName=Pan India Infraprojects Private Limited", "Rationale")</f>
        <v/>
      </c>
    </row>
    <row r="1604">
      <c r="A1604" s="0" t="s">
        <v>3864</v>
      </c>
      <c r="B1604" s="0" t="s">
        <v>3865</v>
      </c>
      <c r="C1604" s="0" t="s">
        <v>287</v>
      </c>
      <c r="D1604" s="0">
        <f dt2D="0" dtr="0">HYPERLINK("https://www.icra.in/Rating/RatingDetails?CompanyId=0&amp;CompanyName=Pan Synthetics Pvt Ltd", "Rationale")</f>
        <v/>
      </c>
    </row>
    <row r="1605">
      <c r="A1605" s="0" t="s">
        <v>3866</v>
      </c>
      <c r="B1605" s="0" t="s">
        <v>3867</v>
      </c>
      <c r="C1605" s="0" t="s">
        <v>50</v>
      </c>
      <c r="D1605" s="0">
        <f dt2D="0" dtr="0">HYPERLINK("https://www.icra.in/Rating/RatingDetails?CompanyId=0&amp;CompanyName=Panache Exports Private Limited", "Rationale")</f>
        <v/>
      </c>
    </row>
    <row r="1606">
      <c r="A1606" s="0" t="s">
        <v>3868</v>
      </c>
      <c r="B1606" s="0" t="s">
        <v>3869</v>
      </c>
      <c r="C1606" s="0" t="s">
        <v>3435</v>
      </c>
      <c r="D1606" s="0">
        <f dt2D="0" dtr="0">HYPERLINK("https://www.icra.in/Rating/RatingDetails?CompanyId=0&amp;CompanyName=Panasian Impex Private Limited", "Rationale")</f>
        <v/>
      </c>
    </row>
    <row r="1607">
      <c r="A1607" s="0" t="s">
        <v>3870</v>
      </c>
      <c r="B1607" s="0" t="s">
        <v>3871</v>
      </c>
      <c r="C1607" s="0" t="s">
        <v>1009</v>
      </c>
      <c r="D1607" s="0">
        <f dt2D="0" dtr="0">HYPERLINK("https://www.icra.in/Rating/RatingDetails?CompanyId=0&amp;CompanyName=Panchsheel Solvent Private Limited", "Rationale")</f>
        <v/>
      </c>
    </row>
    <row r="1608">
      <c r="A1608" s="0" t="s">
        <v>3872</v>
      </c>
      <c r="B1608" s="0" t="s">
        <v>3873</v>
      </c>
      <c r="C1608" s="0" t="s">
        <v>71</v>
      </c>
      <c r="D1608" s="0">
        <f dt2D="0" dtr="0">HYPERLINK("https://www.icra.in/Rating/RatingDetails?CompanyId=0&amp;CompanyName=Panchwati Prayogshala Private Limited", "Rationale")</f>
        <v/>
      </c>
    </row>
    <row r="1609">
      <c r="A1609" s="0" t="s">
        <v>3874</v>
      </c>
      <c r="B1609" s="0" t="s">
        <v>3875</v>
      </c>
      <c r="C1609" s="0" t="s">
        <v>53</v>
      </c>
      <c r="D1609" s="0">
        <f dt2D="0" dtr="0">HYPERLINK("https://www.icra.in/Rating/RatingDetails?CompanyId=0&amp;CompanyName=Pandit Automotive Private Limited", "Rationale")</f>
        <v/>
      </c>
    </row>
    <row r="1610">
      <c r="A1610" s="0" t="s">
        <v>3876</v>
      </c>
      <c r="B1610" s="0" t="s">
        <v>3877</v>
      </c>
      <c r="C1610" s="0" t="s">
        <v>3071</v>
      </c>
      <c r="D1610" s="0">
        <f dt2D="0" dtr="0">HYPERLINK("https://www.icra.in/Rating/RatingDetails?CompanyId=0&amp;CompanyName=Pandoul Flour Mills Private Limited", "Rationale")</f>
        <v/>
      </c>
    </row>
    <row r="1611">
      <c r="A1611" s="0" t="s">
        <v>3878</v>
      </c>
      <c r="B1611" s="0" t="s">
        <v>3879</v>
      </c>
      <c r="C1611" s="0" t="s">
        <v>3880</v>
      </c>
      <c r="D1611" s="0">
        <f dt2D="0" dtr="0">HYPERLINK("https://www.icra.in/Rating/RatingDetails?CompanyId=0&amp;CompanyName=Pankaj Steel Corporation", "Rationale")</f>
        <v/>
      </c>
    </row>
    <row r="1612">
      <c r="A1612" s="0" t="s">
        <v>3881</v>
      </c>
      <c r="B1612" s="0" t="s">
        <v>3882</v>
      </c>
      <c r="C1612" s="0" t="s">
        <v>752</v>
      </c>
      <c r="D1612" s="0">
        <f dt2D="0" dtr="0">HYPERLINK("https://www.icra.in/Rating/RatingDetails?CompanyId=0&amp;CompanyName=Pannageshwar Sugar Mills Limited", "Rationale")</f>
        <v/>
      </c>
    </row>
    <row r="1613">
      <c r="A1613" s="0" t="s">
        <v>3883</v>
      </c>
      <c r="B1613" s="0" t="s">
        <v>3884</v>
      </c>
      <c r="C1613" s="0" t="s">
        <v>3318</v>
      </c>
      <c r="D1613" s="0">
        <f dt2D="0" dtr="0">HYPERLINK("https://www.icra.in/Rating/RatingDetails?CompanyId=0&amp;CompanyName=Pansari Polymers &amp; Steels Private Limited (formerly Pansari Steels Private Limited)", "Rationale")</f>
        <v/>
      </c>
    </row>
    <row r="1614">
      <c r="A1614" s="0" t="s">
        <v>3885</v>
      </c>
      <c r="B1614" s="0" t="s">
        <v>3886</v>
      </c>
      <c r="C1614" s="0" t="s">
        <v>71</v>
      </c>
      <c r="D1614" s="0">
        <f dt2D="0" dtr="0">HYPERLINK("https://www.icra.in/Rating/RatingDetails?CompanyId=0&amp;CompanyName=Para Products Private Limited", "Rationale")</f>
        <v/>
      </c>
    </row>
    <row r="1615">
      <c r="A1615" s="0" t="s">
        <v>3887</v>
      </c>
      <c r="B1615" s="0" t="s">
        <v>3888</v>
      </c>
      <c r="C1615" s="0" t="s">
        <v>1182</v>
      </c>
      <c r="D1615" s="0">
        <f dt2D="0" dtr="0">HYPERLINK("https://www.icra.in/Rating/RatingDetails?CompanyId=0&amp;CompanyName=Paramasivam Palanisamy Charitable Trust", "Rationale")</f>
        <v/>
      </c>
    </row>
    <row r="1616">
      <c r="A1616" s="0" t="s">
        <v>3889</v>
      </c>
      <c r="B1616" s="0" t="s">
        <v>3890</v>
      </c>
      <c r="C1616" s="0" t="s">
        <v>1017</v>
      </c>
      <c r="D1616" s="0">
        <f dt2D="0" dtr="0">HYPERLINK("https://www.icra.in/Rating/RatingDetails?CompanyId=0&amp;CompanyName=Paramount International", "Rationale")</f>
        <v/>
      </c>
    </row>
    <row r="1617">
      <c r="A1617" s="0" t="s">
        <v>3891</v>
      </c>
      <c r="B1617" s="0" t="s">
        <v>3892</v>
      </c>
      <c r="C1617" s="0" t="s">
        <v>3893</v>
      </c>
      <c r="D1617" s="0">
        <f dt2D="0" dtr="0">HYPERLINK("https://www.icra.in/Rating/RatingDetails?CompanyId=0&amp;CompanyName=Paramount Rice Pvt. Ltd.", "Rationale")</f>
        <v/>
      </c>
    </row>
    <row r="1618">
      <c r="A1618" s="0" t="s">
        <v>3894</v>
      </c>
      <c r="B1618" s="0" t="s">
        <v>3895</v>
      </c>
      <c r="C1618" s="0" t="s">
        <v>439</v>
      </c>
      <c r="D1618" s="0">
        <f dt2D="0" dtr="0">HYPERLINK("https://www.icra.in/Rating/RatingDetails?CompanyId=0&amp;CompanyName=Paramount Wheels Private Limited", "Rationale")</f>
        <v/>
      </c>
    </row>
    <row r="1619">
      <c r="A1619" s="0" t="s">
        <v>3896</v>
      </c>
      <c r="B1619" s="0" t="s">
        <v>3897</v>
      </c>
      <c r="C1619" s="0" t="s">
        <v>1437</v>
      </c>
      <c r="D1619" s="0">
        <f dt2D="0" dtr="0">HYPERLINK("https://www.icra.in/Rating/RatingDetails?CompanyId=0&amp;CompanyName=Paramshakti Steels Limited", "Rationale")</f>
        <v/>
      </c>
    </row>
    <row r="1620">
      <c r="A1620" s="0" t="s">
        <v>3898</v>
      </c>
      <c r="B1620" s="0" t="s">
        <v>3899</v>
      </c>
      <c r="C1620" s="0" t="s">
        <v>1437</v>
      </c>
      <c r="D1620" s="0">
        <f dt2D="0" dtr="0">HYPERLINK("https://www.icra.in/Rating/RatingDetails?CompanyId=0&amp;CompanyName=Parankush Food Processing &amp; Rice Mill (P) Limited", "Rationale")</f>
        <v/>
      </c>
    </row>
    <row r="1621">
      <c r="A1621" s="0" t="s">
        <v>3900</v>
      </c>
      <c r="B1621" s="0" t="s">
        <v>3901</v>
      </c>
      <c r="C1621" s="0" t="s">
        <v>439</v>
      </c>
      <c r="D1621" s="0">
        <f dt2D="0" dtr="0">HYPERLINK("https://www.icra.in/Rating/RatingDetails?CompanyId=0&amp;CompanyName=Paras Foods", "Rationale")</f>
        <v/>
      </c>
    </row>
    <row r="1622">
      <c r="A1622" s="0" t="s">
        <v>3902</v>
      </c>
      <c r="B1622" s="0" t="s">
        <v>3903</v>
      </c>
      <c r="C1622" s="0" t="s">
        <v>197</v>
      </c>
      <c r="D1622" s="0">
        <f dt2D="0" dtr="0">HYPERLINK("https://www.icra.in/Rating/RatingDetails?CompanyId=0&amp;CompanyName=Parasrampuria Engineers Private Limited", "Rationale")</f>
        <v/>
      </c>
    </row>
    <row r="1623">
      <c r="A1623" s="0" t="s">
        <v>3904</v>
      </c>
      <c r="B1623" s="0" t="s">
        <v>3905</v>
      </c>
      <c r="C1623" s="0" t="s">
        <v>1469</v>
      </c>
      <c r="D1623" s="0">
        <f dt2D="0" dtr="0">HYPERLINK("https://www.icra.in/Rating/RatingDetails?CompanyId=0&amp;CompanyName=Paratus Real Estates Pvt. Ltd.", "Rationale")</f>
        <v/>
      </c>
    </row>
    <row r="1624">
      <c r="A1624" s="0" t="s">
        <v>3906</v>
      </c>
      <c r="B1624" s="0" t="s">
        <v>3907</v>
      </c>
      <c r="C1624" s="0" t="s">
        <v>87</v>
      </c>
      <c r="D1624" s="0">
        <f dt2D="0" dtr="0">HYPERLINK("https://www.icra.in/Rating/RatingDetails?CompanyId=0&amp;CompanyName=Paris Elysees India Private Limited", "Rationale")</f>
        <v/>
      </c>
    </row>
    <row r="1625">
      <c r="A1625" s="0" t="s">
        <v>3908</v>
      </c>
      <c r="B1625" s="0" t="s">
        <v>3909</v>
      </c>
      <c r="C1625" s="0" t="s">
        <v>3910</v>
      </c>
      <c r="D1625" s="0">
        <f dt2D="0" dtr="0">HYPERLINK("https://www.icra.in/Rating/RatingDetails?CompanyId=0&amp;CompanyName=Parth Concast Limited", "Rationale")</f>
        <v/>
      </c>
    </row>
    <row r="1626">
      <c r="A1626" s="0" t="s">
        <v>3911</v>
      </c>
      <c r="B1626" s="0" t="s">
        <v>3912</v>
      </c>
      <c r="C1626" s="0" t="s">
        <v>983</v>
      </c>
      <c r="D1626" s="0">
        <f dt2D="0" dtr="0">HYPERLINK("https://www.icra.in/Rating/RatingDetails?CompanyId=0&amp;CompanyName=Parth Cotton &amp; Oil Industries", "Rationale")</f>
        <v/>
      </c>
    </row>
    <row r="1627">
      <c r="A1627" s="0" t="s">
        <v>3913</v>
      </c>
      <c r="B1627" s="0" t="s">
        <v>3914</v>
      </c>
      <c r="C1627" s="0" t="s">
        <v>3915</v>
      </c>
      <c r="D1627" s="0">
        <f dt2D="0" dtr="0">HYPERLINK("https://www.icra.in/Rating/RatingDetails?CompanyId=0&amp;CompanyName=Parvati Solvent Extraction Private Limited", "Rationale")</f>
        <v/>
      </c>
    </row>
    <row r="1628">
      <c r="A1628" s="0" t="s">
        <v>3916</v>
      </c>
      <c r="B1628" s="0" t="s">
        <v>3917</v>
      </c>
      <c r="C1628" s="0" t="s">
        <v>1279</v>
      </c>
      <c r="D1628" s="0">
        <f dt2D="0" dtr="0">HYPERLINK("https://www.icra.in/Rating/RatingDetails?CompanyId=0&amp;CompanyName=Pashupati Traders", "Rationale")</f>
        <v/>
      </c>
    </row>
    <row r="1629">
      <c r="A1629" s="0" t="s">
        <v>3918</v>
      </c>
      <c r="B1629" s="0" t="s">
        <v>3919</v>
      </c>
      <c r="C1629" s="0" t="s">
        <v>1489</v>
      </c>
      <c r="D1629" s="0">
        <f dt2D="0" dtr="0">HYPERLINK("https://www.icra.in/Rating/RatingDetails?CompanyId=0&amp;CompanyName=Pasolite Electricals Pvt Ltd", "Rationale")</f>
        <v/>
      </c>
    </row>
    <row r="1630">
      <c r="A1630" s="0" t="s">
        <v>3920</v>
      </c>
      <c r="B1630" s="0" t="s">
        <v>3921</v>
      </c>
      <c r="C1630" s="0" t="s">
        <v>1808</v>
      </c>
      <c r="D1630" s="0">
        <f dt2D="0" dtr="0">HYPERLINK("https://www.icra.in/Rating/RatingDetails?CompanyId=0&amp;CompanyName=Paswara Chemicals Limited", "Rationale")</f>
        <v/>
      </c>
    </row>
    <row r="1631">
      <c r="A1631" s="0" t="s">
        <v>3922</v>
      </c>
      <c r="B1631" s="0" t="s">
        <v>3923</v>
      </c>
      <c r="C1631" s="0" t="s">
        <v>492</v>
      </c>
      <c r="D1631" s="0">
        <f dt2D="0" dtr="0">HYPERLINK("https://www.icra.in/Rating/RatingDetails?CompanyId=0&amp;CompanyName=Patel Cotton", "Rationale")</f>
        <v/>
      </c>
    </row>
    <row r="1632">
      <c r="A1632" s="0" t="s">
        <v>3924</v>
      </c>
      <c r="B1632" s="0" t="s">
        <v>3925</v>
      </c>
      <c r="C1632" s="0" t="s">
        <v>3926</v>
      </c>
      <c r="D1632" s="0">
        <f dt2D="0" dtr="0">HYPERLINK("https://www.icra.in/Rating/RatingDetails?CompanyId=0&amp;CompanyName=Patel Cotton Industries - Dhrangadhra", "Rationale")</f>
        <v/>
      </c>
    </row>
    <row r="1633">
      <c r="A1633" s="0" t="s">
        <v>3927</v>
      </c>
      <c r="B1633" s="0" t="s">
        <v>3928</v>
      </c>
      <c r="C1633" s="0" t="s">
        <v>71</v>
      </c>
      <c r="D1633" s="0">
        <f dt2D="0" dtr="0">HYPERLINK("https://www.icra.in/Rating/RatingDetails?CompanyId=0&amp;CompanyName=Patel Cotton Industries - Veraval", "Rationale")</f>
        <v/>
      </c>
    </row>
    <row r="1634">
      <c r="A1634" s="0" t="s">
        <v>3929</v>
      </c>
      <c r="B1634" s="0" t="s">
        <v>3930</v>
      </c>
      <c r="C1634" s="0" t="s">
        <v>2770</v>
      </c>
      <c r="D1634" s="0">
        <f dt2D="0" dtr="0">HYPERLINK("https://www.icra.in/Rating/RatingDetails?CompanyId=0&amp;CompanyName=Patel Micron LLP", "Rationale")</f>
        <v/>
      </c>
    </row>
    <row r="1635">
      <c r="A1635" s="0" t="s">
        <v>3931</v>
      </c>
      <c r="B1635" s="0" t="s">
        <v>3932</v>
      </c>
      <c r="C1635" s="0" t="s">
        <v>2101</v>
      </c>
      <c r="D1635" s="0">
        <f dt2D="0" dtr="0">HYPERLINK("https://www.icra.in/Rating/RatingDetails?CompanyId=0&amp;CompanyName=Patel Oswal Housing", "Rationale")</f>
        <v/>
      </c>
    </row>
    <row r="1636">
      <c r="A1636" s="0" t="s">
        <v>3933</v>
      </c>
      <c r="B1636" s="0" t="s">
        <v>3934</v>
      </c>
      <c r="C1636" s="0" t="s">
        <v>2215</v>
      </c>
      <c r="D1636" s="0">
        <f dt2D="0" dtr="0">HYPERLINK("https://www.icra.in/Rating/RatingDetails?CompanyId=0&amp;CompanyName=Patelnagar Refractories Private Limited", "Rationale")</f>
        <v/>
      </c>
    </row>
    <row r="1637">
      <c r="A1637" s="0" t="s">
        <v>3935</v>
      </c>
      <c r="B1637" s="0" t="s">
        <v>3936</v>
      </c>
      <c r="C1637" s="0" t="s">
        <v>92</v>
      </c>
      <c r="D1637" s="0">
        <f dt2D="0" dtr="0">HYPERLINK("https://www.icra.in/Rating/RatingDetails?CompanyId=0&amp;CompanyName=Patron Industries Private Limited", "Rationale")</f>
        <v/>
      </c>
    </row>
    <row r="1638">
      <c r="A1638" s="0" t="s">
        <v>3937</v>
      </c>
      <c r="B1638" s="0" t="s">
        <v>3938</v>
      </c>
      <c r="C1638" s="0" t="s">
        <v>65</v>
      </c>
      <c r="D1638" s="0">
        <f dt2D="0" dtr="0">HYPERLINK("https://www.icra.in/Rating/RatingDetails?CompanyId=0&amp;CompanyName=Patwari Steels Private Limited", "Rationale")</f>
        <v/>
      </c>
    </row>
    <row r="1639">
      <c r="A1639" s="0" t="s">
        <v>3939</v>
      </c>
      <c r="B1639" s="0" t="s">
        <v>3940</v>
      </c>
      <c r="C1639" s="0" t="s">
        <v>3941</v>
      </c>
      <c r="D1639" s="0">
        <f dt2D="0" dtr="0">HYPERLINK("https://www.icra.in/Rating/RatingDetails?CompanyId=0&amp;CompanyName=Pavan Cotton Products Private Limited", "Rationale")</f>
        <v/>
      </c>
    </row>
    <row r="1640">
      <c r="A1640" s="0" t="s">
        <v>3942</v>
      </c>
      <c r="B1640" s="0" t="s">
        <v>3943</v>
      </c>
      <c r="C1640" s="0" t="s">
        <v>786</v>
      </c>
      <c r="D1640" s="0">
        <f dt2D="0" dtr="0">HYPERLINK("https://www.icra.in/Rating/RatingDetails?CompanyId=0&amp;CompanyName=Pavansut Paper Mill Pvt. Ltd.", "Rationale")</f>
        <v/>
      </c>
    </row>
    <row r="1641">
      <c r="A1641" s="0" t="s">
        <v>3944</v>
      </c>
      <c r="B1641" s="0" t="s">
        <v>3945</v>
      </c>
      <c r="C1641" s="0" t="s">
        <v>1335</v>
      </c>
      <c r="D1641" s="0">
        <f dt2D="0" dtr="0">HYPERLINK("https://www.icra.in/Rating/RatingDetails?CompanyId=0&amp;CompanyName=Payne Realtors Private Limited", "Rationale")</f>
        <v/>
      </c>
    </row>
    <row r="1642">
      <c r="A1642" s="0" t="s">
        <v>3946</v>
      </c>
      <c r="B1642" s="0" t="s">
        <v>3947</v>
      </c>
      <c r="C1642" s="0" t="s">
        <v>372</v>
      </c>
      <c r="D1642" s="0">
        <f dt2D="0" dtr="0">HYPERLINK("https://www.icra.in/Rating/RatingDetails?CompanyId=0&amp;CompanyName=PCL FOODS PRIVATE LIMITED", "Rationale")</f>
        <v/>
      </c>
    </row>
    <row r="1643">
      <c r="A1643" s="0" t="s">
        <v>3948</v>
      </c>
      <c r="B1643" s="0" t="s">
        <v>3949</v>
      </c>
      <c r="C1643" s="0" t="s">
        <v>59</v>
      </c>
      <c r="D1643" s="0">
        <f dt2D="0" dtr="0">HYPERLINK("https://www.icra.in/Rating/RatingDetails?CompanyId=0&amp;CompanyName=PD Corporation Private Limited", "Rationale")</f>
        <v/>
      </c>
    </row>
    <row r="1644">
      <c r="A1644" s="0" t="s">
        <v>3950</v>
      </c>
      <c r="B1644" s="0" t="s">
        <v>3951</v>
      </c>
      <c r="C1644" s="0" t="s">
        <v>3153</v>
      </c>
      <c r="D1644" s="0">
        <f dt2D="0" dtr="0">HYPERLINK("https://www.icra.in/Rating/RatingDetails?CompanyId=0&amp;CompanyName=Pearson Drums &amp; Barrels Pvt Ltd", "Rationale")</f>
        <v/>
      </c>
    </row>
    <row r="1645">
      <c r="A1645" s="0" t="s">
        <v>3952</v>
      </c>
      <c r="B1645" s="0" t="s">
        <v>3953</v>
      </c>
      <c r="C1645" s="0" t="s">
        <v>1551</v>
      </c>
      <c r="D1645" s="0">
        <f dt2D="0" dtr="0">HYPERLINK("https://www.icra.in/Rating/RatingDetails?CompanyId=0&amp;CompanyName=Peel - Works Pvt. Ltd.", "Rationale")</f>
        <v/>
      </c>
    </row>
    <row r="1646">
      <c r="A1646" s="0" t="s">
        <v>3954</v>
      </c>
      <c r="B1646" s="0" t="s">
        <v>3955</v>
      </c>
      <c r="C1646" s="0" t="s">
        <v>709</v>
      </c>
      <c r="D1646" s="0">
        <f dt2D="0" dtr="0">HYPERLINK("https://www.icra.in/Rating/RatingDetails?CompanyId=0&amp;CompanyName=Peerzadiguda Municipal Corporation", "Rationale")</f>
        <v/>
      </c>
    </row>
    <row r="1647">
      <c r="A1647" s="0" t="s">
        <v>3956</v>
      </c>
      <c r="B1647" s="0" t="s">
        <v>3957</v>
      </c>
      <c r="C1647" s="0" t="s">
        <v>470</v>
      </c>
      <c r="D1647" s="0">
        <f dt2D="0" dtr="0">HYPERLINK("https://www.icra.in/Rating/RatingDetails?CompanyId=0&amp;CompanyName=Pepsu Road Transport Corporation", "Rationale")</f>
        <v/>
      </c>
    </row>
    <row r="1648">
      <c r="A1648" s="0" t="s">
        <v>3958</v>
      </c>
      <c r="B1648" s="0" t="s">
        <v>3959</v>
      </c>
      <c r="C1648" s="0" t="s">
        <v>71</v>
      </c>
      <c r="D1648" s="0">
        <f dt2D="0" dtr="0">HYPERLINK("https://www.icra.in/Rating/RatingDetails?CompanyId=0&amp;CompanyName=Perfect Aluminium Alloys", "Rationale")</f>
        <v/>
      </c>
    </row>
    <row r="1649">
      <c r="A1649" s="0" t="s">
        <v>3960</v>
      </c>
      <c r="B1649" s="0" t="s">
        <v>3961</v>
      </c>
      <c r="C1649" s="0" t="s">
        <v>197</v>
      </c>
      <c r="D1649" s="0">
        <f dt2D="0" dtr="0">HYPERLINK("https://www.icra.in/Rating/RatingDetails?CompanyId=0&amp;CompanyName=Perfect Communication", "Rationale")</f>
        <v/>
      </c>
    </row>
    <row r="1650">
      <c r="A1650" s="0" t="s">
        <v>3962</v>
      </c>
      <c r="B1650" s="0" t="s">
        <v>3963</v>
      </c>
      <c r="C1650" s="0" t="s">
        <v>71</v>
      </c>
      <c r="D1650" s="0">
        <f dt2D="0" dtr="0">HYPERLINK("https://www.icra.in/Rating/RatingDetails?CompanyId=0&amp;CompanyName=Perfect Metacraft Llp", "Rationale")</f>
        <v/>
      </c>
    </row>
    <row r="1651">
      <c r="A1651" s="0" t="s">
        <v>3964</v>
      </c>
      <c r="B1651" s="0" t="s">
        <v>3965</v>
      </c>
      <c r="C1651" s="0" t="s">
        <v>71</v>
      </c>
      <c r="D1651" s="0">
        <f dt2D="0" dtr="0">HYPERLINK("https://www.icra.in/Rating/RatingDetails?CompanyId=0&amp;CompanyName=Perumal Spinning Mills Private Limited", "Rationale")</f>
        <v/>
      </c>
    </row>
    <row r="1652">
      <c r="A1652" s="0" t="s">
        <v>3966</v>
      </c>
      <c r="B1652" s="0" t="s">
        <v>3967</v>
      </c>
      <c r="C1652" s="0" t="s">
        <v>715</v>
      </c>
      <c r="D1652" s="0">
        <f dt2D="0" dtr="0">HYPERLINK("https://www.icra.in/Rating/RatingDetails?CompanyId=0&amp;CompanyName=Petal Motocon Pvt. Ltd.", "Rationale")</f>
        <v/>
      </c>
    </row>
    <row r="1653">
      <c r="A1653" s="0" t="s">
        <v>3968</v>
      </c>
      <c r="B1653" s="0" t="s">
        <v>3969</v>
      </c>
      <c r="C1653" s="0" t="s">
        <v>2387</v>
      </c>
      <c r="D1653" s="0">
        <f dt2D="0" dtr="0">HYPERLINK("https://www.icra.in/Rating/RatingDetails?CompanyId=0&amp;CompanyName=Peyush Traders", "Rationale")</f>
        <v/>
      </c>
    </row>
    <row r="1654">
      <c r="A1654" s="0" t="s">
        <v>3970</v>
      </c>
      <c r="B1654" s="0" t="s">
        <v>3971</v>
      </c>
      <c r="C1654" s="0" t="s">
        <v>3972</v>
      </c>
      <c r="D1654" s="0">
        <f dt2D="0" dtr="0">HYPERLINK("https://www.icra.in/Rating/RatingDetails?CompanyId=0&amp;CompanyName=Photon Energy Systems Limited", "Rationale")</f>
        <v/>
      </c>
    </row>
    <row r="1655">
      <c r="A1655" s="0" t="s">
        <v>3973</v>
      </c>
      <c r="B1655" s="0" t="s">
        <v>3974</v>
      </c>
      <c r="C1655" s="0" t="s">
        <v>3972</v>
      </c>
      <c r="D1655" s="0">
        <f dt2D="0" dtr="0">HYPERLINK("https://www.icra.in/Rating/RatingDetails?CompanyId=0&amp;CompanyName=Photon Rooftops Private Limited", "Rationale")</f>
        <v/>
      </c>
    </row>
    <row r="1656">
      <c r="A1656" s="0" t="s">
        <v>3975</v>
      </c>
      <c r="B1656" s="0" t="s">
        <v>3976</v>
      </c>
      <c r="C1656" s="0" t="s">
        <v>1302</v>
      </c>
      <c r="D1656" s="0">
        <f dt2D="0" dtr="0">HYPERLINK("https://www.icra.in/Rating/RatingDetails?CompanyId=0&amp;CompanyName=Pibco Enterprises Pvt. Ltd.", "Rationale")</f>
        <v/>
      </c>
    </row>
    <row r="1657">
      <c r="A1657" s="0" t="s">
        <v>3977</v>
      </c>
      <c r="B1657" s="0" t="s">
        <v>3978</v>
      </c>
      <c r="C1657" s="0" t="s">
        <v>50</v>
      </c>
      <c r="D1657" s="0">
        <f dt2D="0" dtr="0">HYPERLINK("https://www.icra.in/Rating/RatingDetails?CompanyId=0&amp;CompanyName=Piccadily Holiday Resorts Limited", "Rationale")</f>
        <v/>
      </c>
    </row>
    <row r="1658">
      <c r="A1658" s="0" t="s">
        <v>3979</v>
      </c>
      <c r="B1658" s="0" t="s">
        <v>3980</v>
      </c>
      <c r="C1658" s="0" t="s">
        <v>71</v>
      </c>
      <c r="D1658" s="0">
        <f dt2D="0" dtr="0">HYPERLINK("https://www.icra.in/Rating/RatingDetails?CompanyId=0&amp;CompanyName=PIK Studios Private Limited", "Rationale")</f>
        <v/>
      </c>
    </row>
    <row r="1659">
      <c r="A1659" s="0" t="s">
        <v>3981</v>
      </c>
      <c r="B1659" s="0" t="s">
        <v>3982</v>
      </c>
      <c r="C1659" s="0" t="s">
        <v>100</v>
      </c>
      <c r="D1659" s="0">
        <f dt2D="0" dtr="0">HYPERLINK("https://www.icra.in/Rating/RatingDetails?CompanyId=0&amp;CompanyName=Pilot 2 Wheelers Pvt Ltd", "Rationale")</f>
        <v/>
      </c>
    </row>
    <row r="1660">
      <c r="A1660" s="0" t="s">
        <v>3983</v>
      </c>
      <c r="B1660" s="0" t="s">
        <v>3984</v>
      </c>
      <c r="C1660" s="0" t="s">
        <v>3985</v>
      </c>
      <c r="D1660" s="0">
        <f dt2D="0" dtr="0">HYPERLINK("https://www.icra.in/Rating/RatingDetails?CompanyId=0&amp;CompanyName=Pinnacle Biomed Private Limited", "Rationale")</f>
        <v/>
      </c>
    </row>
    <row r="1661">
      <c r="A1661" s="0" t="s">
        <v>3986</v>
      </c>
      <c r="B1661" s="0" t="s">
        <v>3987</v>
      </c>
      <c r="C1661" s="0" t="s">
        <v>511</v>
      </c>
      <c r="D1661" s="0">
        <f dt2D="0" dtr="0">HYPERLINK("https://www.icra.in/Rating/RatingDetails?CompanyId=0&amp;CompanyName=Pioneer Globex Private Limited", "Rationale")</f>
        <v/>
      </c>
    </row>
    <row r="1662">
      <c r="A1662" s="0" t="s">
        <v>3988</v>
      </c>
      <c r="B1662" s="0" t="s">
        <v>3989</v>
      </c>
      <c r="C1662" s="0" t="s">
        <v>980</v>
      </c>
      <c r="D1662" s="0">
        <f dt2D="0" dtr="0">HYPERLINK("https://www.icra.in/Rating/RatingDetails?CompanyId=0&amp;CompanyName=Pioneer Tea &amp; Exports Limited", "Rationale")</f>
        <v/>
      </c>
    </row>
    <row r="1663">
      <c r="A1663" s="0" t="s">
        <v>3990</v>
      </c>
      <c r="B1663" s="0" t="s">
        <v>3991</v>
      </c>
      <c r="C1663" s="0" t="s">
        <v>103</v>
      </c>
      <c r="D1663" s="0">
        <f dt2D="0" dtr="0">HYPERLINK("https://www.icra.in/Rating/RatingDetails?CompanyId=0&amp;CompanyName=Pitambara Foods", "Rationale")</f>
        <v/>
      </c>
    </row>
    <row r="1664">
      <c r="A1664" s="0" t="s">
        <v>3992</v>
      </c>
      <c r="B1664" s="0" t="s">
        <v>3993</v>
      </c>
      <c r="C1664" s="0" t="s">
        <v>1914</v>
      </c>
      <c r="D1664" s="0">
        <f dt2D="0" dtr="0">HYPERLINK("https://www.icra.in/Rating/RatingDetails?CompanyId=0&amp;CompanyName=Pittie Distributors India Private Limited", "Rationale")</f>
        <v/>
      </c>
    </row>
    <row r="1665">
      <c r="A1665" s="0" t="s">
        <v>3994</v>
      </c>
      <c r="B1665" s="0" t="s">
        <v>3995</v>
      </c>
      <c r="C1665" s="0" t="s">
        <v>1299</v>
      </c>
      <c r="D1665" s="0">
        <f dt2D="0" dtr="0">HYPERLINK("https://www.icra.in/Rating/RatingDetails?CompanyId=0&amp;CompanyName=Piyush Colonisers Limited", "Rationale")</f>
        <v/>
      </c>
    </row>
    <row r="1666">
      <c r="A1666" s="0" t="s">
        <v>3996</v>
      </c>
      <c r="B1666" s="0" t="s">
        <v>3997</v>
      </c>
      <c r="C1666" s="0" t="s">
        <v>3998</v>
      </c>
      <c r="D1666" s="0">
        <f dt2D="0" dtr="0">HYPERLINK("https://www.icra.in/Rating/RatingDetails?CompanyId=0&amp;CompanyName=Piyush Infratech Private Limited", "Rationale")</f>
        <v/>
      </c>
    </row>
    <row r="1667">
      <c r="A1667" s="0" t="s">
        <v>3999</v>
      </c>
      <c r="B1667" s="0" t="s">
        <v>4000</v>
      </c>
      <c r="C1667" s="0" t="s">
        <v>3198</v>
      </c>
      <c r="D1667" s="0">
        <f dt2D="0" dtr="0">HYPERLINK("https://www.icra.in/Rating/RatingDetails?CompanyId=0&amp;CompanyName=Plasma Metal Processing Pvt. Ltd.", "Rationale")</f>
        <v/>
      </c>
    </row>
    <row r="1668">
      <c r="A1668" s="0" t="s">
        <v>4001</v>
      </c>
      <c r="B1668" s="0" t="s">
        <v>4002</v>
      </c>
      <c r="C1668" s="0" t="s">
        <v>1049</v>
      </c>
      <c r="D1668" s="0">
        <f dt2D="0" dtr="0">HYPERLINK("https://www.icra.in/Rating/RatingDetails?CompanyId=0&amp;CompanyName=Plasmix Private Limited", "Rationale")</f>
        <v/>
      </c>
    </row>
    <row r="1669">
      <c r="A1669" s="0" t="s">
        <v>4003</v>
      </c>
      <c r="B1669" s="0" t="s">
        <v>4004</v>
      </c>
      <c r="C1669" s="0" t="s">
        <v>4005</v>
      </c>
      <c r="D1669" s="0">
        <f dt2D="0" dtr="0">HYPERLINK("https://www.icra.in/Rating/RatingDetails?CompanyId=0&amp;CompanyName=Platino Classic Motors (India) Pvt. Ltd.", "Rationale")</f>
        <v/>
      </c>
    </row>
    <row r="1670">
      <c r="A1670" s="0" t="s">
        <v>4006</v>
      </c>
      <c r="B1670" s="0" t="s">
        <v>4007</v>
      </c>
      <c r="C1670" s="0" t="s">
        <v>2747</v>
      </c>
      <c r="D1670" s="0">
        <f dt2D="0" dtr="0">HYPERLINK("https://www.icra.in/Rating/RatingDetails?CompanyId=0&amp;CompanyName=Platinum Polymers Private Limited", "Rationale")</f>
        <v/>
      </c>
    </row>
    <row r="1671">
      <c r="A1671" s="0" t="s">
        <v>4008</v>
      </c>
      <c r="B1671" s="0" t="s">
        <v>4009</v>
      </c>
      <c r="C1671" s="0" t="s">
        <v>4010</v>
      </c>
      <c r="D1671" s="0">
        <f dt2D="0" dtr="0">HYPERLINK("https://www.icra.in/Rating/RatingDetails?CompanyId=0&amp;CompanyName=Pm Cars Pvt. Ltd.", "Rationale")</f>
        <v/>
      </c>
    </row>
    <row r="1672">
      <c r="A1672" s="0" t="s">
        <v>4011</v>
      </c>
      <c r="B1672" s="0" t="s">
        <v>4012</v>
      </c>
      <c r="C1672" s="0" t="s">
        <v>4013</v>
      </c>
      <c r="D1672" s="0">
        <f dt2D="0" dtr="0">HYPERLINK("https://www.icra.in/Rating/RatingDetails?CompanyId=0&amp;CompanyName=PM Infrastructure Private Limited", "Rationale")</f>
        <v/>
      </c>
    </row>
    <row r="1673">
      <c r="A1673" s="0" t="s">
        <v>4014</v>
      </c>
      <c r="B1673" s="0" t="s">
        <v>4015</v>
      </c>
      <c r="C1673" s="0" t="s">
        <v>4016</v>
      </c>
      <c r="D1673" s="0">
        <f dt2D="0" dtr="0">HYPERLINK("https://www.icra.in/Rating/RatingDetails?CompanyId=0&amp;CompanyName=PMJ Constructions Pvt. Ltd.", "Rationale")</f>
        <v/>
      </c>
    </row>
    <row r="1674">
      <c r="A1674" s="0" t="s">
        <v>4017</v>
      </c>
      <c r="B1674" s="0" t="s">
        <v>4018</v>
      </c>
      <c r="C1674" s="0" t="s">
        <v>71</v>
      </c>
      <c r="D1674" s="0">
        <f dt2D="0" dtr="0">HYPERLINK("https://www.icra.in/Rating/RatingDetails?CompanyId=0&amp;CompanyName=PMP Infratech Pvt. Ltd.", "Rationale")</f>
        <v/>
      </c>
    </row>
    <row r="1675">
      <c r="A1675" s="0" t="s">
        <v>4019</v>
      </c>
      <c r="B1675" s="0" t="s">
        <v>4020</v>
      </c>
      <c r="C1675" s="0" t="s">
        <v>652</v>
      </c>
      <c r="D1675" s="0">
        <f dt2D="0" dtr="0">HYPERLINK("https://www.icra.in/Rating/RatingDetails?CompanyId=0&amp;CompanyName=PMR Construction Company", "Rationale")</f>
        <v/>
      </c>
    </row>
    <row r="1676">
      <c r="A1676" s="0" t="s">
        <v>4021</v>
      </c>
      <c r="B1676" s="0" t="s">
        <v>4022</v>
      </c>
      <c r="C1676" s="0" t="s">
        <v>525</v>
      </c>
      <c r="D1676" s="0">
        <f dt2D="0" dtr="0">HYPERLINK("https://www.icra.in/Rating/RatingDetails?CompanyId=0&amp;CompanyName=PnB Realty Ltd", "Rationale")</f>
        <v/>
      </c>
    </row>
    <row r="1677">
      <c r="A1677" s="0" t="s">
        <v>4023</v>
      </c>
      <c r="B1677" s="0" t="s">
        <v>4024</v>
      </c>
      <c r="C1677" s="0" t="s">
        <v>958</v>
      </c>
      <c r="D1677" s="0">
        <f dt2D="0" dtr="0">HYPERLINK("https://www.icra.in/Rating/RatingDetails?CompanyId=0&amp;CompanyName=Polaris Liquor Private Limited", "Rationale")</f>
        <v/>
      </c>
    </row>
    <row r="1678">
      <c r="A1678" s="0" t="s">
        <v>4025</v>
      </c>
      <c r="B1678" s="0" t="s">
        <v>4026</v>
      </c>
      <c r="C1678" s="0" t="s">
        <v>2979</v>
      </c>
      <c r="D1678" s="0">
        <f dt2D="0" dtr="0">HYPERLINK("https://www.icra.in/Rating/RatingDetails?CompanyId=0&amp;CompanyName=Polestar Traders Private Limited", "Rationale")</f>
        <v/>
      </c>
    </row>
    <row r="1679">
      <c r="A1679" s="0" t="s">
        <v>4027</v>
      </c>
      <c r="B1679" s="0" t="s">
        <v>4028</v>
      </c>
      <c r="C1679" s="0" t="s">
        <v>662</v>
      </c>
      <c r="D1679" s="0">
        <f dt2D="0" dtr="0">HYPERLINK("https://www.icra.in/Rating/RatingDetails?CompanyId=0&amp;CompanyName=Polixel Security Systems Private Limited", "Rationale")</f>
        <v/>
      </c>
    </row>
    <row r="1680">
      <c r="A1680" s="0" t="s">
        <v>4029</v>
      </c>
      <c r="B1680" s="0" t="s">
        <v>4030</v>
      </c>
      <c r="C1680" s="0" t="s">
        <v>1090</v>
      </c>
      <c r="D1680" s="0">
        <f dt2D="0" dtr="0">HYPERLINK("https://www.icra.in/Rating/RatingDetails?CompanyId=0&amp;CompanyName=Polyplastics Automotive India Private Limited", "Rationale")</f>
        <v/>
      </c>
    </row>
    <row r="1681">
      <c r="A1681" s="0" t="s">
        <v>4031</v>
      </c>
      <c r="B1681" s="0" t="s">
        <v>4032</v>
      </c>
      <c r="C1681" s="0" t="s">
        <v>293</v>
      </c>
      <c r="D1681" s="0">
        <f dt2D="0" dtr="0">HYPERLINK("https://www.icra.in/Rating/RatingDetails?CompanyId=0&amp;CompanyName=Pommys Garments (India) Limited", "Rationale")</f>
        <v/>
      </c>
    </row>
    <row r="1682">
      <c r="A1682" s="0" t="s">
        <v>4033</v>
      </c>
      <c r="B1682" s="0" t="s">
        <v>4034</v>
      </c>
      <c r="C1682" s="0" t="s">
        <v>1437</v>
      </c>
      <c r="D1682" s="0">
        <f dt2D="0" dtr="0">HYPERLINK("https://www.icra.in/Rating/RatingDetails?CompanyId=0&amp;CompanyName=Ponnu Food Products", "Rationale")</f>
        <v/>
      </c>
    </row>
    <row r="1683">
      <c r="A1683" s="0" t="s">
        <v>4035</v>
      </c>
      <c r="B1683" s="0" t="s">
        <v>4036</v>
      </c>
      <c r="C1683" s="0" t="s">
        <v>4037</v>
      </c>
      <c r="D1683" s="0">
        <f dt2D="0" dtr="0">HYPERLINK("https://www.icra.in/Rating/RatingDetails?CompanyId=0&amp;CompanyName=Pooja Jewellers", "Rationale")</f>
        <v/>
      </c>
    </row>
    <row r="1684">
      <c r="A1684" s="0" t="s">
        <v>4038</v>
      </c>
      <c r="B1684" s="0" t="s">
        <v>4039</v>
      </c>
      <c r="C1684" s="0" t="s">
        <v>3153</v>
      </c>
      <c r="D1684" s="0">
        <f dt2D="0" dtr="0">HYPERLINK("https://www.icra.in/Rating/RatingDetails?CompanyId=0&amp;CompanyName=Popular Foundations Private Limited", "Rationale")</f>
        <v/>
      </c>
    </row>
    <row r="1685">
      <c r="A1685" s="0" t="s">
        <v>4040</v>
      </c>
      <c r="B1685" s="0" t="s">
        <v>4041</v>
      </c>
      <c r="C1685" s="0" t="s">
        <v>71</v>
      </c>
      <c r="D1685" s="0">
        <f dt2D="0" dtr="0">HYPERLINK("https://www.icra.in/Rating/RatingDetails?CompanyId=0&amp;CompanyName=Popular Shoe Mart (1)", "Rationale")</f>
        <v/>
      </c>
    </row>
    <row r="1686">
      <c r="A1686" s="0" t="s">
        <v>4042</v>
      </c>
      <c r="B1686" s="0" t="s">
        <v>4043</v>
      </c>
      <c r="C1686" s="0" t="s">
        <v>1335</v>
      </c>
      <c r="D1686" s="0">
        <f dt2D="0" dtr="0">HYPERLINK("https://www.icra.in/Rating/RatingDetails?CompanyId=0&amp;CompanyName=Popuri Steels Limited", "Rationale")</f>
        <v/>
      </c>
    </row>
    <row r="1687">
      <c r="A1687" s="0" t="s">
        <v>4044</v>
      </c>
      <c r="B1687" s="0" t="s">
        <v>4045</v>
      </c>
      <c r="C1687" s="0" t="s">
        <v>228</v>
      </c>
      <c r="D1687" s="0">
        <f dt2D="0" dtr="0">HYPERLINK("https://www.icra.in/Rating/RatingDetails?CompanyId=0&amp;CompanyName=Positive Micron LLP", "Rationale")</f>
        <v/>
      </c>
    </row>
    <row r="1688">
      <c r="A1688" s="0" t="s">
        <v>4046</v>
      </c>
      <c r="B1688" s="0" t="s">
        <v>4047</v>
      </c>
      <c r="C1688" s="0" t="s">
        <v>4048</v>
      </c>
      <c r="D1688" s="0">
        <f dt2D="0" dtr="0">HYPERLINK("https://www.icra.in/Rating/RatingDetails?CompanyId=0&amp;CompanyName=Power Mech Infra Limited", "Rationale")</f>
        <v/>
      </c>
    </row>
    <row r="1689">
      <c r="A1689" s="0" t="s">
        <v>4049</v>
      </c>
      <c r="B1689" s="0" t="s">
        <v>4050</v>
      </c>
      <c r="C1689" s="0" t="s">
        <v>4051</v>
      </c>
      <c r="D1689" s="0">
        <f dt2D="0" dtr="0">HYPERLINK("https://www.icra.in/Rating/RatingDetails?CompanyId=0&amp;CompanyName=Powered EPC Services Limited", "Rationale")</f>
        <v/>
      </c>
    </row>
    <row r="1690">
      <c r="A1690" s="0" t="s">
        <v>4052</v>
      </c>
      <c r="B1690" s="0" t="s">
        <v>4053</v>
      </c>
      <c r="C1690" s="0" t="s">
        <v>4054</v>
      </c>
      <c r="D1690" s="0">
        <f dt2D="0" dtr="0">HYPERLINK("https://www.icra.in/Rating/RatingDetails?CompanyId=0&amp;CompanyName=PR Packing Service", "Rationale")</f>
        <v/>
      </c>
    </row>
    <row r="1691">
      <c r="A1691" s="0" t="s">
        <v>4055</v>
      </c>
      <c r="B1691" s="0" t="s">
        <v>4056</v>
      </c>
      <c r="C1691" s="0" t="s">
        <v>460</v>
      </c>
      <c r="D1691" s="0">
        <f dt2D="0" dtr="0">HYPERLINK("https://www.icra.in/Rating/RatingDetails?CompanyId=0&amp;CompanyName=Prabha Engineers", "Rationale")</f>
        <v/>
      </c>
    </row>
    <row r="1692">
      <c r="A1692" s="0" t="s">
        <v>4057</v>
      </c>
      <c r="B1692" s="0" t="s">
        <v>4058</v>
      </c>
      <c r="C1692" s="0" t="s">
        <v>470</v>
      </c>
      <c r="D1692" s="0">
        <f dt2D="0" dtr="0">HYPERLINK("https://www.icra.in/Rating/RatingDetails?CompanyId=0&amp;CompanyName=Prabhu Agarwalla Construction Private Limited", "Rationale")</f>
        <v/>
      </c>
    </row>
    <row r="1693">
      <c r="A1693" s="0" t="s">
        <v>4059</v>
      </c>
      <c r="B1693" s="0" t="s">
        <v>4060</v>
      </c>
      <c r="C1693" s="0" t="s">
        <v>2195</v>
      </c>
      <c r="D1693" s="0">
        <f dt2D="0" dtr="0">HYPERLINK("https://www.icra.in/Rating/RatingDetails?CompanyId=0&amp;CompanyName=Prabhu Spinning Mills Private Limited", "Rationale")</f>
        <v/>
      </c>
    </row>
    <row r="1694">
      <c r="A1694" s="0" t="s">
        <v>4061</v>
      </c>
      <c r="B1694" s="0" t="s">
        <v>4062</v>
      </c>
      <c r="C1694" s="0" t="s">
        <v>4063</v>
      </c>
      <c r="D1694" s="0">
        <f dt2D="0" dtr="0">HYPERLINK("https://www.icra.in/Rating/RatingDetails?CompanyId=0&amp;CompanyName=Pragatej Builders &amp; Developers Private Limited", "Rationale")</f>
        <v/>
      </c>
    </row>
    <row r="1695">
      <c r="A1695" s="0" t="s">
        <v>4064</v>
      </c>
      <c r="B1695" s="0" t="s">
        <v>4065</v>
      </c>
      <c r="C1695" s="0" t="s">
        <v>522</v>
      </c>
      <c r="D1695" s="0">
        <f dt2D="0" dtr="0">HYPERLINK("https://www.icra.in/Rating/RatingDetails?CompanyId=0&amp;CompanyName=Pragati Cotton Industries", "Rationale")</f>
        <v/>
      </c>
    </row>
    <row r="1696">
      <c r="A1696" s="0" t="s">
        <v>4066</v>
      </c>
      <c r="B1696" s="0" t="s">
        <v>4067</v>
      </c>
      <c r="C1696" s="0" t="s">
        <v>4068</v>
      </c>
      <c r="D1696" s="0">
        <f dt2D="0" dtr="0">HYPERLINK("https://www.icra.in/Rating/RatingDetails?CompanyId=0&amp;CompanyName=Pragati Glass Private Limited", "Rationale")</f>
        <v/>
      </c>
    </row>
    <row r="1697">
      <c r="A1697" s="0" t="s">
        <v>4069</v>
      </c>
      <c r="B1697" s="0" t="s">
        <v>4070</v>
      </c>
      <c r="C1697" s="0" t="s">
        <v>4071</v>
      </c>
      <c r="D1697" s="0">
        <f dt2D="0" dtr="0">HYPERLINK("https://www.icra.in/Rating/RatingDetails?CompanyId=0&amp;CompanyName=Pragati Marine Services Private Limited", "Rationale")</f>
        <v/>
      </c>
    </row>
    <row r="1698">
      <c r="A1698" s="0" t="s">
        <v>4072</v>
      </c>
      <c r="B1698" s="0" t="s">
        <v>4073</v>
      </c>
      <c r="C1698" s="0" t="s">
        <v>2448</v>
      </c>
      <c r="D1698" s="0">
        <f dt2D="0" dtr="0">HYPERLINK("https://www.icra.in/Rating/RatingDetails?CompanyId=0&amp;CompanyName=Pragya Rice Mill", "Rationale")</f>
        <v/>
      </c>
    </row>
    <row r="1699">
      <c r="A1699" s="0" t="s">
        <v>4074</v>
      </c>
      <c r="B1699" s="0" t="s">
        <v>4075</v>
      </c>
      <c r="C1699" s="0" t="s">
        <v>84</v>
      </c>
      <c r="D1699" s="0">
        <f dt2D="0" dtr="0">HYPERLINK("https://www.icra.in/Rating/RatingDetails?CompanyId=0&amp;CompanyName=Pragya Securities Private Limited", "Rationale")</f>
        <v/>
      </c>
    </row>
    <row r="1700">
      <c r="A1700" s="0" t="s">
        <v>4076</v>
      </c>
      <c r="B1700" s="0" t="s">
        <v>4077</v>
      </c>
      <c r="C1700" s="0" t="s">
        <v>2584</v>
      </c>
      <c r="D1700" s="0">
        <f dt2D="0" dtr="0">HYPERLINK("https://www.icra.in/Rating/RatingDetails?CompanyId=0&amp;CompanyName=Prahlad Flour Mills (P) Ltd.", "Rationale")</f>
        <v/>
      </c>
    </row>
    <row r="1701">
      <c r="A1701" s="0" t="s">
        <v>4078</v>
      </c>
      <c r="B1701" s="0" t="s">
        <v>4079</v>
      </c>
      <c r="C1701" s="0" t="s">
        <v>4080</v>
      </c>
      <c r="D1701" s="0">
        <f dt2D="0" dtr="0">HYPERLINK("https://www.icra.in/Rating/RatingDetails?CompanyId=0&amp;CompanyName=Prakash Dal &amp; Flour Mills", "Rationale")</f>
        <v/>
      </c>
    </row>
    <row r="1702">
      <c r="A1702" s="0" t="s">
        <v>4081</v>
      </c>
      <c r="B1702" s="0" t="s">
        <v>4082</v>
      </c>
      <c r="C1702" s="0" t="s">
        <v>265</v>
      </c>
      <c r="D1702" s="0">
        <f dt2D="0" dtr="0">HYPERLINK("https://www.icra.in/Rating/RatingDetails?CompanyId=0&amp;CompanyName=Prakash Offset Printers", "Rationale")</f>
        <v/>
      </c>
    </row>
    <row r="1703">
      <c r="A1703" s="0" t="s">
        <v>4083</v>
      </c>
      <c r="B1703" s="0" t="s">
        <v>4084</v>
      </c>
      <c r="C1703" s="0" t="s">
        <v>71</v>
      </c>
      <c r="D1703" s="0">
        <f dt2D="0" dtr="0">HYPERLINK("https://www.icra.in/Rating/RatingDetails?CompanyId=0&amp;CompanyName=Prakash Oils Limited", "Rationale")</f>
        <v/>
      </c>
    </row>
    <row r="1704">
      <c r="A1704" s="0" t="s">
        <v>4085</v>
      </c>
      <c r="B1704" s="0" t="s">
        <v>4086</v>
      </c>
      <c r="C1704" s="0" t="s">
        <v>489</v>
      </c>
      <c r="D1704" s="0">
        <f dt2D="0" dtr="0">HYPERLINK("https://www.icra.in/Rating/RatingDetails?CompanyId=0&amp;CompanyName=Prakash Steel Corporation", "Rationale")</f>
        <v/>
      </c>
    </row>
    <row r="1705">
      <c r="A1705" s="0" t="s">
        <v>4087</v>
      </c>
      <c r="B1705" s="0" t="s">
        <v>4088</v>
      </c>
      <c r="C1705" s="0" t="s">
        <v>1572</v>
      </c>
      <c r="D1705" s="0">
        <f dt2D="0" dtr="0">HYPERLINK("https://www.icra.in/Rating/RatingDetails?CompanyId=0&amp;CompanyName=Pramuk Infracon LLP", "Rationale")</f>
        <v/>
      </c>
    </row>
    <row r="1706">
      <c r="A1706" s="0" t="s">
        <v>4089</v>
      </c>
      <c r="B1706" s="0" t="s">
        <v>4090</v>
      </c>
      <c r="C1706" s="0" t="s">
        <v>885</v>
      </c>
      <c r="D1706" s="0">
        <f dt2D="0" dtr="0">HYPERLINK("https://www.icra.in/Rating/RatingDetails?CompanyId=0&amp;CompanyName=Pramukh Copper Pvt. Ltd.", "Rationale")</f>
        <v/>
      </c>
    </row>
    <row r="1707">
      <c r="A1707" s="0" t="s">
        <v>4091</v>
      </c>
      <c r="B1707" s="0" t="s">
        <v>4092</v>
      </c>
      <c r="C1707" s="0" t="s">
        <v>1461</v>
      </c>
      <c r="D1707" s="0">
        <f dt2D="0" dtr="0">HYPERLINK("https://www.icra.in/Rating/RatingDetails?CompanyId=0&amp;CompanyName=Pramukh Exim Pvt. Ltd.", "Rationale")</f>
        <v/>
      </c>
    </row>
    <row r="1708">
      <c r="A1708" s="0" t="s">
        <v>4093</v>
      </c>
      <c r="B1708" s="0" t="s">
        <v>4094</v>
      </c>
      <c r="C1708" s="0" t="s">
        <v>1437</v>
      </c>
      <c r="D1708" s="0">
        <f dt2D="0" dtr="0">HYPERLINK("https://www.icra.in/Rating/RatingDetails?CompanyId=0&amp;CompanyName=Pranee Infrastructure Pvt. Ltd.", "Rationale")</f>
        <v/>
      </c>
    </row>
    <row r="1709">
      <c r="A1709" s="0" t="s">
        <v>4095</v>
      </c>
      <c r="B1709" s="0" t="s">
        <v>4096</v>
      </c>
      <c r="C1709" s="0" t="s">
        <v>1182</v>
      </c>
      <c r="D1709" s="0">
        <f dt2D="0" dtr="0">HYPERLINK("https://www.icra.in/Rating/RatingDetails?CompanyId=0&amp;CompanyName=Prani Auto Plaza Private Limited", "Rationale")</f>
        <v/>
      </c>
    </row>
    <row r="1710">
      <c r="A1710" s="0" t="s">
        <v>4097</v>
      </c>
      <c r="B1710" s="0" t="s">
        <v>4098</v>
      </c>
      <c r="C1710" s="0" t="s">
        <v>141</v>
      </c>
      <c r="D1710" s="0">
        <f dt2D="0" dtr="0">HYPERLINK("https://www.icra.in/Rating/RatingDetails?CompanyId=0&amp;CompanyName=Prasad Agrico Industries Private Limited", "Rationale")</f>
        <v/>
      </c>
    </row>
    <row r="1711">
      <c r="A1711" s="0" t="s">
        <v>4099</v>
      </c>
      <c r="B1711" s="0" t="s">
        <v>4100</v>
      </c>
      <c r="C1711" s="0" t="s">
        <v>1335</v>
      </c>
      <c r="D1711" s="0">
        <f dt2D="0" dtr="0">HYPERLINK("https://www.icra.in/Rating/RatingDetails?CompanyId=0&amp;CompanyName=Prasad Multi Services Pvt. Ltd.", "Rationale")</f>
        <v/>
      </c>
    </row>
    <row r="1712">
      <c r="A1712" s="0" t="s">
        <v>4101</v>
      </c>
      <c r="B1712" s="0" t="s">
        <v>4102</v>
      </c>
      <c r="C1712" s="0" t="s">
        <v>71</v>
      </c>
      <c r="D1712" s="0">
        <f dt2D="0" dtr="0">HYPERLINK("https://www.icra.in/Rating/RatingDetails?CompanyId=0&amp;CompanyName=Prashanth Educational Society", "Rationale")</f>
        <v/>
      </c>
    </row>
    <row r="1713">
      <c r="A1713" s="0" t="s">
        <v>4103</v>
      </c>
      <c r="B1713" s="0" t="s">
        <v>4104</v>
      </c>
      <c r="C1713" s="0" t="s">
        <v>1158</v>
      </c>
      <c r="D1713" s="0">
        <f dt2D="0" dtr="0">HYPERLINK("https://www.icra.in/Rating/RatingDetails?CompanyId=0&amp;CompanyName=Prateek Apparels Private Limited", "Rationale")</f>
        <v/>
      </c>
    </row>
    <row r="1714">
      <c r="A1714" s="0" t="s">
        <v>4105</v>
      </c>
      <c r="B1714" s="0" t="s">
        <v>4106</v>
      </c>
      <c r="C1714" s="0" t="s">
        <v>71</v>
      </c>
      <c r="D1714" s="0">
        <f dt2D="0" dtr="0">HYPERLINK("https://www.icra.in/Rating/RatingDetails?CompanyId=0&amp;CompanyName=Pratibha Constructions Engineers &amp; Contractors (India) Private Limited", "Rationale")</f>
        <v/>
      </c>
    </row>
    <row r="1715">
      <c r="A1715" s="0" t="s">
        <v>4107</v>
      </c>
      <c r="B1715" s="0" t="s">
        <v>4108</v>
      </c>
      <c r="C1715" s="0" t="s">
        <v>71</v>
      </c>
      <c r="D1715" s="0">
        <f dt2D="0" dtr="0">HYPERLINK("https://www.icra.in/Rating/RatingDetails?CompanyId=0&amp;CompanyName=Praveen Electrical Works", "Rationale")</f>
        <v/>
      </c>
    </row>
    <row r="1716">
      <c r="A1716" s="0" t="s">
        <v>4109</v>
      </c>
      <c r="B1716" s="0" t="s">
        <v>4110</v>
      </c>
      <c r="C1716" s="0" t="s">
        <v>71</v>
      </c>
      <c r="D1716" s="0">
        <f dt2D="0" dtr="0">HYPERLINK("https://www.icra.in/Rating/RatingDetails?CompanyId=0&amp;CompanyName=Precimeasure Controls Private Limited", "Rationale")</f>
        <v/>
      </c>
    </row>
    <row r="1717">
      <c r="A1717" s="0" t="s">
        <v>4111</v>
      </c>
      <c r="B1717" s="0" t="s">
        <v>4112</v>
      </c>
      <c r="C1717" s="0" t="s">
        <v>4113</v>
      </c>
      <c r="D1717" s="0">
        <f dt2D="0" dtr="0">HYPERLINK("https://www.icra.in/Rating/RatingDetails?CompanyId=0&amp;CompanyName=Precious Jewels Corporation", "Rationale")</f>
        <v/>
      </c>
    </row>
    <row r="1718">
      <c r="A1718" s="0" t="s">
        <v>4114</v>
      </c>
      <c r="B1718" s="0" t="s">
        <v>4115</v>
      </c>
      <c r="C1718" s="0" t="s">
        <v>1458</v>
      </c>
      <c r="D1718" s="0">
        <f dt2D="0" dtr="0">HYPERLINK("https://www.icra.in/Rating/RatingDetails?CompanyId=0&amp;CompanyName=Precision Engineering Corporation", "Rationale")</f>
        <v/>
      </c>
    </row>
    <row r="1719">
      <c r="A1719" s="0" t="s">
        <v>4116</v>
      </c>
      <c r="B1719" s="0" t="s">
        <v>4117</v>
      </c>
      <c r="C1719" s="0" t="s">
        <v>3187</v>
      </c>
      <c r="D1719" s="0">
        <f dt2D="0" dtr="0">HYPERLINK("https://www.icra.in/Rating/RatingDetails?CompanyId=0&amp;CompanyName=Precon Technology And Castings Ltd", "Rationale")</f>
        <v/>
      </c>
    </row>
    <row r="1720">
      <c r="A1720" s="0" t="s">
        <v>4118</v>
      </c>
      <c r="B1720" s="0" t="s">
        <v>4119</v>
      </c>
      <c r="C1720" s="0" t="s">
        <v>402</v>
      </c>
      <c r="D1720" s="0">
        <f dt2D="0" dtr="0">HYPERLINK("https://www.icra.in/Rating/RatingDetails?CompanyId=0&amp;CompanyName=Preeti Textile", "Rationale")</f>
        <v/>
      </c>
    </row>
    <row r="1721">
      <c r="A1721" s="0" t="s">
        <v>4120</v>
      </c>
      <c r="B1721" s="0" t="s">
        <v>4121</v>
      </c>
      <c r="C1721" s="0" t="s">
        <v>4122</v>
      </c>
      <c r="D1721" s="0">
        <f dt2D="0" dtr="0">HYPERLINK("https://www.icra.in/Rating/RatingDetails?CompanyId=0&amp;CompanyName=Prehari Protection Systems Pvt. Ltd.", "Rationale")</f>
        <v/>
      </c>
    </row>
    <row r="1722">
      <c r="A1722" s="0" t="s">
        <v>4123</v>
      </c>
      <c r="B1722" s="0" t="s">
        <v>4124</v>
      </c>
      <c r="C1722" s="0" t="s">
        <v>2584</v>
      </c>
      <c r="D1722" s="0">
        <f dt2D="0" dtr="0">HYPERLINK("https://www.icra.in/Rating/RatingDetails?CompanyId=0&amp;CompanyName=Premier Industrial Corporation Limited", "Rationale")</f>
        <v/>
      </c>
    </row>
    <row r="1723">
      <c r="A1723" s="0" t="s">
        <v>4125</v>
      </c>
      <c r="B1723" s="0" t="s">
        <v>4126</v>
      </c>
      <c r="C1723" s="0" t="s">
        <v>1872</v>
      </c>
      <c r="D1723" s="0">
        <f dt2D="0" dtr="0">HYPERLINK("https://www.icra.in/Rating/RatingDetails?CompanyId=0&amp;CompanyName=Premier Seafoods Exim Private Limited", "Rationale")</f>
        <v/>
      </c>
    </row>
    <row r="1724">
      <c r="A1724" s="0" t="s">
        <v>4127</v>
      </c>
      <c r="B1724" s="0" t="s">
        <v>4128</v>
      </c>
      <c r="C1724" s="0" t="s">
        <v>2599</v>
      </c>
      <c r="D1724" s="0">
        <f dt2D="0" dtr="0">HYPERLINK("https://www.icra.in/Rating/RatingDetails?CompanyId=0&amp;CompanyName=Presidency Exports &amp; Industries Ltd", "Rationale")</f>
        <v/>
      </c>
    </row>
    <row r="1725">
      <c r="A1725" s="0" t="s">
        <v>4129</v>
      </c>
      <c r="B1725" s="0" t="s">
        <v>4130</v>
      </c>
      <c r="C1725" s="0" t="s">
        <v>665</v>
      </c>
      <c r="D1725" s="0">
        <f dt2D="0" dtr="0">HYPERLINK("https://www.icra.in/Rating/RatingDetails?CompanyId=0&amp;CompanyName=Prestigebulk Handling Corporation Pvt Ltd", "Rationale")</f>
        <v/>
      </c>
    </row>
    <row r="1726">
      <c r="A1726" s="0" t="s">
        <v>4131</v>
      </c>
      <c r="B1726" s="0" t="s">
        <v>4132</v>
      </c>
      <c r="C1726" s="0" t="s">
        <v>4133</v>
      </c>
      <c r="D1726" s="0">
        <f dt2D="0" dtr="0">HYPERLINK("https://www.icra.in/Rating/RatingDetails?CompanyId=0&amp;CompanyName=Prestress Steel LLP (erstwhile Prestress Wire Industries)", "Rationale")</f>
        <v/>
      </c>
    </row>
    <row r="1727">
      <c r="A1727" s="0" t="s">
        <v>4134</v>
      </c>
      <c r="B1727" s="0" t="s">
        <v>4135</v>
      </c>
      <c r="C1727" s="0" t="s">
        <v>4136</v>
      </c>
      <c r="D1727" s="0">
        <f dt2D="0" dtr="0">HYPERLINK("https://www.icra.in/Rating/RatingDetails?CompanyId=0&amp;CompanyName=PRG Buildcon India Pvt ltd", "Rationale")</f>
        <v/>
      </c>
    </row>
    <row r="1728">
      <c r="A1728" s="0" t="s">
        <v>4137</v>
      </c>
      <c r="B1728" s="0" t="s">
        <v>4138</v>
      </c>
      <c r="C1728" s="0" t="s">
        <v>712</v>
      </c>
      <c r="D1728" s="0">
        <f dt2D="0" dtr="0">HYPERLINK("https://www.icra.in/Rating/RatingDetails?CompanyId=0&amp;CompanyName=Prime Autos", "Rationale")</f>
        <v/>
      </c>
    </row>
    <row r="1729">
      <c r="A1729" s="0" t="s">
        <v>4139</v>
      </c>
      <c r="B1729" s="0" t="s">
        <v>4140</v>
      </c>
      <c r="C1729" s="0" t="s">
        <v>980</v>
      </c>
      <c r="D1729" s="0">
        <f dt2D="0" dtr="0">HYPERLINK("https://www.icra.in/Rating/RatingDetails?CompanyId=0&amp;CompanyName=Prime Lumbers Pvt. Ltd.", "Rationale")</f>
        <v/>
      </c>
    </row>
    <row r="1730">
      <c r="A1730" s="0" t="s">
        <v>4141</v>
      </c>
      <c r="B1730" s="0" t="s">
        <v>4142</v>
      </c>
      <c r="C1730" s="0" t="s">
        <v>2646</v>
      </c>
      <c r="D1730" s="0">
        <f dt2D="0" dtr="0">HYPERLINK("https://www.icra.in/Rating/RatingDetails?CompanyId=0&amp;CompanyName=Prince Enterprises", "Rationale")</f>
        <v/>
      </c>
    </row>
    <row r="1731">
      <c r="A1731" s="0" t="s">
        <v>4143</v>
      </c>
      <c r="B1731" s="0" t="s">
        <v>4144</v>
      </c>
      <c r="C1731" s="0" t="s">
        <v>1742</v>
      </c>
      <c r="D1731" s="0">
        <f dt2D="0" dtr="0">HYPERLINK("https://www.icra.in/Rating/RatingDetails?CompanyId=0&amp;CompanyName=Prince Properties", "Rationale")</f>
        <v/>
      </c>
    </row>
    <row r="1732">
      <c r="A1732" s="0" t="s">
        <v>4145</v>
      </c>
      <c r="B1732" s="0" t="s">
        <v>4146</v>
      </c>
      <c r="C1732" s="0" t="s">
        <v>24</v>
      </c>
      <c r="D1732" s="0">
        <f dt2D="0" dtr="0">HYPERLINK("https://www.icra.in/Rating/RatingDetails?CompanyId=0&amp;CompanyName=Prince Yarnn India Limited", "Rationale")</f>
        <v/>
      </c>
    </row>
    <row r="1733">
      <c r="A1733" s="0" t="s">
        <v>4147</v>
      </c>
      <c r="B1733" s="0" t="s">
        <v>4148</v>
      </c>
      <c r="C1733" s="0" t="s">
        <v>989</v>
      </c>
      <c r="D1733" s="0">
        <f dt2D="0" dtr="0">HYPERLINK("https://www.icra.in/Rating/RatingDetails?CompanyId=0&amp;CompanyName=Print Solutions Private Limited", "Rationale")</f>
        <v/>
      </c>
    </row>
    <row r="1734">
      <c r="A1734" s="0" t="s">
        <v>4149</v>
      </c>
      <c r="B1734" s="0" t="s">
        <v>4150</v>
      </c>
      <c r="C1734" s="0" t="s">
        <v>3284</v>
      </c>
      <c r="D1734" s="0">
        <f dt2D="0" dtr="0">HYPERLINK("https://www.icra.in/Rating/RatingDetails?CompanyId=0&amp;CompanyName=Pristine Commercials Private Limited", "Rationale")</f>
        <v/>
      </c>
    </row>
    <row r="1735">
      <c r="A1735" s="0" t="s">
        <v>4151</v>
      </c>
      <c r="B1735" s="0" t="s">
        <v>4152</v>
      </c>
      <c r="C1735" s="0" t="s">
        <v>71</v>
      </c>
      <c r="D1735" s="0">
        <f dt2D="0" dtr="0">HYPERLINK("https://www.icra.in/Rating/RatingDetails?CompanyId=0&amp;CompanyName=Pristine Developers", "Rationale")</f>
        <v/>
      </c>
    </row>
    <row r="1736">
      <c r="A1736" s="0" t="s">
        <v>4153</v>
      </c>
      <c r="B1736" s="0" t="s">
        <v>4154</v>
      </c>
      <c r="C1736" s="0" t="s">
        <v>4155</v>
      </c>
      <c r="D1736" s="0">
        <f dt2D="0" dtr="0">HYPERLINK("https://www.icra.in/Rating/RatingDetails?CompanyId=0&amp;CompanyName=Prithvi Developers", "Rationale")</f>
        <v/>
      </c>
    </row>
    <row r="1737">
      <c r="A1737" s="0" t="s">
        <v>4156</v>
      </c>
      <c r="B1737" s="0" t="s">
        <v>4157</v>
      </c>
      <c r="C1737" s="0" t="s">
        <v>4158</v>
      </c>
      <c r="D1737" s="0">
        <f dt2D="0" dtr="0">HYPERLINK("https://www.icra.in/Rating/RatingDetails?CompanyId=0&amp;CompanyName=Priyheer Infrastructures Private Limited", "Rationale")</f>
        <v/>
      </c>
    </row>
    <row r="1738">
      <c r="A1738" s="0" t="s">
        <v>4159</v>
      </c>
      <c r="B1738" s="0" t="s">
        <v>4160</v>
      </c>
      <c r="C1738" s="0" t="s">
        <v>439</v>
      </c>
      <c r="D1738" s="0">
        <f dt2D="0" dtr="0">HYPERLINK("https://www.icra.in/Rating/RatingDetails?CompanyId=0&amp;CompanyName=Prj Polymers Private Limited", "Rationale")</f>
        <v/>
      </c>
    </row>
    <row r="1739">
      <c r="A1739" s="0" t="s">
        <v>4161</v>
      </c>
      <c r="B1739" s="0" t="s">
        <v>4162</v>
      </c>
      <c r="C1739" s="0" t="s">
        <v>2073</v>
      </c>
      <c r="D1739" s="0">
        <f dt2D="0" dtr="0">HYPERLINK("https://www.icra.in/Rating/RatingDetails?CompanyId=0&amp;CompanyName=Progressive Automobiles Private Limited", "Rationale")</f>
        <v/>
      </c>
    </row>
    <row r="1740">
      <c r="A1740" s="0" t="s">
        <v>4163</v>
      </c>
      <c r="B1740" s="0" t="s">
        <v>4164</v>
      </c>
      <c r="C1740" s="0" t="s">
        <v>986</v>
      </c>
      <c r="D1740" s="0">
        <f dt2D="0" dtr="0">HYPERLINK("https://www.icra.in/Rating/RatingDetails?CompanyId=0&amp;CompanyName=Prometrik Engineering Limited (formerly Andhra Sinter Limited)", "Rationale")</f>
        <v/>
      </c>
    </row>
    <row r="1741">
      <c r="A1741" s="0" t="s">
        <v>4165</v>
      </c>
      <c r="B1741" s="0" t="s">
        <v>4166</v>
      </c>
      <c r="C1741" s="0" t="s">
        <v>1437</v>
      </c>
      <c r="D1741" s="0">
        <f dt2D="0" dtr="0">HYPERLINK("https://www.icra.in/Rating/RatingDetails?CompanyId=0&amp;CompanyName=Proseed Foundation", "Rationale")</f>
        <v/>
      </c>
    </row>
    <row r="1742">
      <c r="A1742" s="0" t="s">
        <v>4167</v>
      </c>
      <c r="B1742" s="0" t="s">
        <v>4168</v>
      </c>
      <c r="C1742" s="0" t="s">
        <v>71</v>
      </c>
      <c r="D1742" s="0">
        <f dt2D="0" dtr="0">HYPERLINK("https://www.icra.in/Rating/RatingDetails?CompanyId=0&amp;CompanyName=Protac Foods International Private Limited", "Rationale")</f>
        <v/>
      </c>
    </row>
    <row r="1743">
      <c r="A1743" s="0" t="s">
        <v>4169</v>
      </c>
      <c r="B1743" s="0" t="s">
        <v>4170</v>
      </c>
      <c r="C1743" s="0" t="s">
        <v>3083</v>
      </c>
      <c r="D1743" s="0">
        <f dt2D="0" dtr="0">HYPERLINK("https://www.icra.in/Rating/RatingDetails?CompanyId=0&amp;CompanyName=Prothom Industries India Private Limited", "Rationale")</f>
        <v/>
      </c>
    </row>
    <row r="1744">
      <c r="A1744" s="0" t="s">
        <v>4171</v>
      </c>
      <c r="B1744" s="0" t="s">
        <v>4172</v>
      </c>
      <c r="C1744" s="0" t="s">
        <v>71</v>
      </c>
      <c r="D1744" s="0">
        <f dt2D="0" dtr="0">HYPERLINK("https://www.icra.in/Rating/RatingDetails?CompanyId=0&amp;CompanyName=Prudhvi Constructions Private Limited", "Rationale")</f>
        <v/>
      </c>
    </row>
    <row r="1745">
      <c r="A1745" s="0" t="s">
        <v>4173</v>
      </c>
      <c r="B1745" s="0" t="s">
        <v>4174</v>
      </c>
      <c r="C1745" s="0" t="s">
        <v>4113</v>
      </c>
      <c r="D1745" s="0">
        <f dt2D="0" dtr="0">HYPERLINK("https://www.icra.in/Rating/RatingDetails?CompanyId=0&amp;CompanyName=PSA Construction", "Rationale")</f>
        <v/>
      </c>
    </row>
    <row r="1746">
      <c r="A1746" s="0" t="s">
        <v>4175</v>
      </c>
      <c r="B1746" s="0" t="s">
        <v>4176</v>
      </c>
      <c r="C1746" s="0" t="s">
        <v>2777</v>
      </c>
      <c r="D1746" s="0">
        <f dt2D="0" dtr="0">HYPERLINK("https://www.icra.in/Rating/RatingDetails?CompanyId=0&amp;CompanyName=PSK Infrastructures and Projects Private Limited", "Rationale")</f>
        <v/>
      </c>
    </row>
    <row r="1747">
      <c r="A1747" s="0" t="s">
        <v>4177</v>
      </c>
      <c r="B1747" s="0" t="s">
        <v>4178</v>
      </c>
      <c r="C1747" s="0" t="s">
        <v>4179</v>
      </c>
      <c r="D1747" s="0">
        <f dt2D="0" dtr="0">HYPERLINK("https://www.icra.in/Rating/RatingDetails?CompanyId=0&amp;CompanyName=Ptg Technopak Private Limited", "Rationale")</f>
        <v/>
      </c>
    </row>
    <row r="1748">
      <c r="A1748" s="0" t="s">
        <v>4180</v>
      </c>
      <c r="B1748" s="0" t="s">
        <v>4181</v>
      </c>
      <c r="C1748" s="0" t="s">
        <v>4182</v>
      </c>
      <c r="D1748" s="0">
        <f dt2D="0" dtr="0">HYPERLINK("https://www.icra.in/Rating/RatingDetails?CompanyId=0&amp;CompanyName=Punjab Genco Limited", "Rationale")</f>
        <v/>
      </c>
    </row>
    <row r="1749">
      <c r="A1749" s="0" t="s">
        <v>4183</v>
      </c>
      <c r="B1749" s="0" t="s">
        <v>4184</v>
      </c>
      <c r="C1749" s="0" t="s">
        <v>71</v>
      </c>
      <c r="D1749" s="0">
        <f dt2D="0" dtr="0">HYPERLINK("https://www.icra.in/Rating/RatingDetails?CompanyId=0&amp;CompanyName=Punjab Hammers Private Limited", "Rationale")</f>
        <v/>
      </c>
    </row>
    <row r="1750">
      <c r="A1750" s="0" t="s">
        <v>4185</v>
      </c>
      <c r="B1750" s="0" t="s">
        <v>4186</v>
      </c>
      <c r="C1750" s="0" t="s">
        <v>4187</v>
      </c>
      <c r="D1750" s="0">
        <f dt2D="0" dtr="0">HYPERLINK("https://www.icra.in/Rating/RatingDetails?CompanyId=0&amp;CompanyName=Punjabi University,Patiala", "Rationale")</f>
        <v/>
      </c>
    </row>
    <row r="1751">
      <c r="A1751" s="0" t="s">
        <v>4188</v>
      </c>
      <c r="B1751" s="0" t="s">
        <v>4189</v>
      </c>
      <c r="C1751" s="0" t="s">
        <v>361</v>
      </c>
      <c r="D1751" s="0">
        <f dt2D="0" dtr="0">HYPERLINK("https://www.icra.in/Rating/RatingDetails?CompanyId=0&amp;CompanyName=Purandar Milk and Agro Products Limited", "Rationale")</f>
        <v/>
      </c>
    </row>
    <row r="1752">
      <c r="A1752" s="0" t="s">
        <v>4190</v>
      </c>
      <c r="B1752" s="0" t="s">
        <v>4191</v>
      </c>
      <c r="C1752" s="0" t="s">
        <v>2916</v>
      </c>
      <c r="D1752" s="0">
        <f dt2D="0" dtr="0">HYPERLINK("https://www.icra.in/Rating/RatingDetails?CompanyId=0&amp;CompanyName=Puranmal Phoola Devi Memorial Trust", "Rationale")</f>
        <v/>
      </c>
    </row>
    <row r="1753">
      <c r="A1753" s="0" t="s">
        <v>4192</v>
      </c>
      <c r="B1753" s="0" t="s">
        <v>4193</v>
      </c>
      <c r="C1753" s="0" t="s">
        <v>71</v>
      </c>
      <c r="D1753" s="0">
        <f dt2D="0" dtr="0">HYPERLINK("https://www.icra.in/Rating/RatingDetails?CompanyId=0&amp;CompanyName=Purbanchal Laminates Private Limited", "Rationale")</f>
        <v/>
      </c>
    </row>
    <row r="1754">
      <c r="A1754" s="0" t="s">
        <v>4194</v>
      </c>
      <c r="B1754" s="0" t="s">
        <v>4195</v>
      </c>
      <c r="C1754" s="0" t="s">
        <v>71</v>
      </c>
      <c r="D1754" s="0">
        <f dt2D="0" dtr="0">HYPERLINK("https://www.icra.in/Rating/RatingDetails?CompanyId=0&amp;CompanyName=Purewal Stone Crusher", "Rationale")</f>
        <v/>
      </c>
    </row>
    <row r="1755">
      <c r="A1755" s="0" t="s">
        <v>4196</v>
      </c>
      <c r="B1755" s="0" t="s">
        <v>4197</v>
      </c>
      <c r="C1755" s="0" t="s">
        <v>752</v>
      </c>
      <c r="D1755" s="0">
        <f dt2D="0" dtr="0">HYPERLINK("https://www.icra.in/Rating/RatingDetails?CompanyId=0&amp;CompanyName=Purnam", "Rationale")</f>
        <v/>
      </c>
    </row>
    <row r="1756">
      <c r="A1756" s="0" t="s">
        <v>4198</v>
      </c>
      <c r="B1756" s="0" t="s">
        <v>4199</v>
      </c>
      <c r="C1756" s="0" t="s">
        <v>1212</v>
      </c>
      <c r="D1756" s="0">
        <f dt2D="0" dtr="0">HYPERLINK("https://www.icra.in/Rating/RatingDetails?CompanyId=0&amp;CompanyName=Purva Metal Sections Pvt Ltd", "Rationale")</f>
        <v/>
      </c>
    </row>
    <row r="1757">
      <c r="A1757" s="0" t="s">
        <v>4200</v>
      </c>
      <c r="B1757" s="0" t="s">
        <v>4201</v>
      </c>
      <c r="C1757" s="0" t="s">
        <v>3228</v>
      </c>
      <c r="D1757" s="0">
        <f dt2D="0" dtr="0">HYPERLINK("https://www.icra.in/Rating/RatingDetails?CompanyId=0&amp;CompanyName=Push Engineering Private Limited", "Rationale")</f>
        <v/>
      </c>
    </row>
    <row r="1758">
      <c r="A1758" s="0" t="s">
        <v>4202</v>
      </c>
      <c r="B1758" s="0" t="s">
        <v>4203</v>
      </c>
      <c r="C1758" s="0" t="s">
        <v>758</v>
      </c>
      <c r="D1758" s="0">
        <f dt2D="0" dtr="0">HYPERLINK("https://www.icra.in/Rating/RatingDetails?CompanyId=0&amp;CompanyName=Pushpak Bullions Pvt. Ltd.", "Rationale")</f>
        <v/>
      </c>
    </row>
    <row r="1759">
      <c r="A1759" s="0" t="s">
        <v>4204</v>
      </c>
      <c r="B1759" s="0" t="s">
        <v>4205</v>
      </c>
      <c r="C1759" s="0" t="s">
        <v>1062</v>
      </c>
      <c r="D1759" s="0">
        <f dt2D="0" dtr="0">HYPERLINK("https://www.icra.in/Rating/RatingDetails?CompanyId=0&amp;CompanyName=PV Knit Fashions", "Rationale")</f>
        <v/>
      </c>
    </row>
    <row r="1760">
      <c r="A1760" s="0" t="s">
        <v>4206</v>
      </c>
      <c r="B1760" s="0" t="s">
        <v>4207</v>
      </c>
      <c r="C1760" s="0" t="s">
        <v>2106</v>
      </c>
      <c r="D1760" s="0">
        <f dt2D="0" dtr="0">HYPERLINK("https://www.icra.in/Rating/RatingDetails?CompanyId=0&amp;CompanyName=Pytex Jewellers Pvt. Ltd.", "Rationale")</f>
        <v/>
      </c>
    </row>
    <row r="1761">
      <c r="A1761" s="0" t="s">
        <v>4208</v>
      </c>
      <c r="B1761" s="0" t="s">
        <v>4209</v>
      </c>
      <c r="C1761" s="0" t="s">
        <v>4210</v>
      </c>
      <c r="D1761" s="0">
        <f dt2D="0" dtr="0">HYPERLINK("https://www.icra.in/Rating/RatingDetails?CompanyId=0&amp;CompanyName=Qi Network Enterprises Private Limited", "Rationale")</f>
        <v/>
      </c>
    </row>
    <row r="1762">
      <c r="A1762" s="0" t="s">
        <v>4211</v>
      </c>
      <c r="B1762" s="0" t="s">
        <v>4212</v>
      </c>
      <c r="C1762" s="0" t="s">
        <v>1674</v>
      </c>
      <c r="D1762" s="0">
        <f dt2D="0" dtr="0">HYPERLINK("https://www.icra.in/Rating/RatingDetails?CompanyId=0&amp;CompanyName=Quality Woven Sacks Private Limited", "Rationale")</f>
        <v/>
      </c>
    </row>
    <row r="1763">
      <c r="A1763" s="0" t="s">
        <v>4213</v>
      </c>
      <c r="B1763" s="0" t="s">
        <v>4214</v>
      </c>
      <c r="C1763" s="0" t="s">
        <v>3167</v>
      </c>
      <c r="D1763" s="0">
        <f dt2D="0" dtr="0">HYPERLINK("https://www.icra.in/Rating/RatingDetails?CompanyId=0&amp;CompanyName=Quatro Rail Tech Solutions Limited", "Rationale")</f>
        <v/>
      </c>
    </row>
    <row r="1764">
      <c r="A1764" s="0" t="s">
        <v>4215</v>
      </c>
      <c r="B1764" s="0" t="s">
        <v>4216</v>
      </c>
      <c r="C1764" s="0" t="s">
        <v>712</v>
      </c>
      <c r="D1764" s="0">
        <f dt2D="0" dtr="0">HYPERLINK("https://www.icra.in/Rating/RatingDetails?CompanyId=0&amp;CompanyName=Qureshi International Private Limited", "Rationale")</f>
        <v/>
      </c>
    </row>
    <row r="1765">
      <c r="A1765" s="0" t="s">
        <v>4217</v>
      </c>
      <c r="B1765" s="0" t="s">
        <v>4218</v>
      </c>
      <c r="C1765" s="0" t="s">
        <v>2692</v>
      </c>
      <c r="D1765" s="0">
        <f dt2D="0" dtr="0">HYPERLINK("https://www.icra.in/Rating/RatingDetails?CompanyId=0&amp;CompanyName=R Balarami Reddy And Company", "Rationale")</f>
        <v/>
      </c>
    </row>
    <row r="1766">
      <c r="A1766" s="0" t="s">
        <v>4219</v>
      </c>
      <c r="B1766" s="0" t="s">
        <v>4220</v>
      </c>
      <c r="C1766" s="0" t="s">
        <v>747</v>
      </c>
      <c r="D1766" s="0">
        <f dt2D="0" dtr="0">HYPERLINK("https://www.icra.in/Rating/RatingDetails?CompanyId=0&amp;CompanyName=R Lokesh", "Rationale")</f>
        <v/>
      </c>
    </row>
    <row r="1767">
      <c r="A1767" s="0" t="s">
        <v>4221</v>
      </c>
      <c r="B1767" s="0" t="s">
        <v>4222</v>
      </c>
      <c r="C1767" s="0" t="s">
        <v>141</v>
      </c>
      <c r="D1767" s="0">
        <f dt2D="0" dtr="0">HYPERLINK("https://www.icra.in/Rating/RatingDetails?CompanyId=0&amp;CompanyName=R N Enterprises", "Rationale")</f>
        <v/>
      </c>
    </row>
    <row r="1768">
      <c r="A1768" s="0" t="s">
        <v>4223</v>
      </c>
      <c r="B1768" s="0" t="s">
        <v>4224</v>
      </c>
      <c r="C1768" s="0" t="s">
        <v>4225</v>
      </c>
      <c r="D1768" s="0">
        <f dt2D="0" dtr="0">HYPERLINK("https://www.icra.in/Rating/RatingDetails?CompanyId=0&amp;CompanyName=R. K. Transport Co.", "Rationale")</f>
        <v/>
      </c>
    </row>
    <row r="1769">
      <c r="A1769" s="0" t="s">
        <v>4226</v>
      </c>
      <c r="B1769" s="0" t="s">
        <v>4227</v>
      </c>
      <c r="C1769" s="0" t="s">
        <v>4228</v>
      </c>
      <c r="D1769" s="0">
        <f dt2D="0" dtr="0">HYPERLINK("https://www.icra.in/Rating/RatingDetails?CompanyId=0&amp;CompanyName=R. Krishnamurthy &amp; Co.", "Rationale")</f>
        <v/>
      </c>
    </row>
    <row r="1770">
      <c r="A1770" s="0" t="s">
        <v>4229</v>
      </c>
      <c r="B1770" s="0" t="s">
        <v>4230</v>
      </c>
      <c r="C1770" s="0" t="s">
        <v>71</v>
      </c>
      <c r="D1770" s="0">
        <f dt2D="0" dtr="0">HYPERLINK("https://www.icra.in/Rating/RatingDetails?CompanyId=0&amp;CompanyName=R. P. Motors", "Rationale")</f>
        <v/>
      </c>
    </row>
    <row r="1771">
      <c r="A1771" s="0" t="s">
        <v>4231</v>
      </c>
      <c r="B1771" s="0" t="s">
        <v>4232</v>
      </c>
      <c r="C1771" s="0" t="s">
        <v>528</v>
      </c>
      <c r="D1771" s="0">
        <f dt2D="0" dtr="0">HYPERLINK("https://www.icra.in/Rating/RatingDetails?CompanyId=0&amp;CompanyName=R. S. H. Agro Products Pvt Ltd", "Rationale")</f>
        <v/>
      </c>
    </row>
    <row r="1772">
      <c r="A1772" s="0" t="s">
        <v>4233</v>
      </c>
      <c r="B1772" s="0" t="s">
        <v>4234</v>
      </c>
      <c r="C1772" s="0" t="s">
        <v>71</v>
      </c>
      <c r="D1772" s="0">
        <f dt2D="0" dtr="0">HYPERLINK("https://www.icra.in/Rating/RatingDetails?CompanyId=0&amp;CompanyName=R. S. Motors Pvt Ltd", "Rationale")</f>
        <v/>
      </c>
    </row>
    <row r="1773">
      <c r="A1773" s="0" t="s">
        <v>4235</v>
      </c>
      <c r="B1773" s="0" t="s">
        <v>4236</v>
      </c>
      <c r="C1773" s="0" t="s">
        <v>47</v>
      </c>
      <c r="D1773" s="0">
        <f dt2D="0" dtr="0">HYPERLINK("https://www.icra.in/Rating/RatingDetails?CompanyId=0&amp;CompanyName=R.B. Rice Industries", "Rationale")</f>
        <v/>
      </c>
    </row>
    <row r="1774">
      <c r="A1774" s="0" t="s">
        <v>4237</v>
      </c>
      <c r="B1774" s="0" t="s">
        <v>4238</v>
      </c>
      <c r="C1774" s="0" t="s">
        <v>74</v>
      </c>
      <c r="D1774" s="0">
        <f dt2D="0" dtr="0">HYPERLINK("https://www.icra.in/Rating/RatingDetails?CompanyId=0&amp;CompanyName=R.H. Sortex Rice Mills Private Limited", "Rationale")</f>
        <v/>
      </c>
    </row>
    <row r="1775">
      <c r="A1775" s="0" t="s">
        <v>4239</v>
      </c>
      <c r="B1775" s="0" t="s">
        <v>4240</v>
      </c>
      <c r="C1775" s="0" t="s">
        <v>71</v>
      </c>
      <c r="D1775" s="0">
        <f dt2D="0" dtr="0">HYPERLINK("https://www.icra.in/Rating/RatingDetails?CompanyId=0&amp;CompanyName=R.J. Agro Industries", "Rationale")</f>
        <v/>
      </c>
    </row>
    <row r="1776">
      <c r="A1776" s="0" t="s">
        <v>4241</v>
      </c>
      <c r="B1776" s="0" t="s">
        <v>4242</v>
      </c>
      <c r="C1776" s="0" t="s">
        <v>1437</v>
      </c>
      <c r="D1776" s="0">
        <f dt2D="0" dtr="0">HYPERLINK("https://www.icra.in/Rating/RatingDetails?CompanyId=0&amp;CompanyName=R.J. Rishikaran Projects Pvt Ltd", "Rationale")</f>
        <v/>
      </c>
    </row>
    <row r="1777">
      <c r="A1777" s="0" t="s">
        <v>4243</v>
      </c>
      <c r="B1777" s="0" t="s">
        <v>4244</v>
      </c>
      <c r="C1777" s="0" t="s">
        <v>439</v>
      </c>
      <c r="D1777" s="0">
        <f dt2D="0" dtr="0">HYPERLINK("https://www.icra.in/Rating/RatingDetails?CompanyId=0&amp;CompanyName=R.K. Agro Industries", "Rationale")</f>
        <v/>
      </c>
    </row>
    <row r="1778">
      <c r="A1778" s="0" t="s">
        <v>4245</v>
      </c>
      <c r="B1778" s="0" t="s">
        <v>4246</v>
      </c>
      <c r="C1778" s="0" t="s">
        <v>825</v>
      </c>
      <c r="D1778" s="0">
        <f dt2D="0" dtr="0">HYPERLINK("https://www.icra.in/Rating/RatingDetails?CompanyId=0&amp;CompanyName=R.K. City Developers Pvt. Ltd.", "Rationale")</f>
        <v/>
      </c>
    </row>
    <row r="1779">
      <c r="A1779" s="0" t="s">
        <v>4247</v>
      </c>
      <c r="B1779" s="0" t="s">
        <v>4248</v>
      </c>
      <c r="C1779" s="0" t="s">
        <v>4249</v>
      </c>
      <c r="D1779" s="0">
        <f dt2D="0" dtr="0">HYPERLINK("https://www.icra.in/Rating/RatingDetails?CompanyId=0&amp;CompanyName=R.K. Dhabhai Minerals and Chemicals Private Limited", "Rationale")</f>
        <v/>
      </c>
    </row>
    <row r="1780">
      <c r="A1780" s="0" t="s">
        <v>4250</v>
      </c>
      <c r="B1780" s="0" t="s">
        <v>4251</v>
      </c>
      <c r="C1780" s="0" t="s">
        <v>71</v>
      </c>
      <c r="D1780" s="0">
        <f dt2D="0" dtr="0">HYPERLINK("https://www.icra.in/Rating/RatingDetails?CompanyId=0&amp;CompanyName=R.K. Grover &amp; Co.", "Rationale")</f>
        <v/>
      </c>
    </row>
    <row r="1781">
      <c r="A1781" s="0" t="s">
        <v>4252</v>
      </c>
      <c r="B1781" s="0" t="s">
        <v>4253</v>
      </c>
      <c r="C1781" s="0" t="s">
        <v>71</v>
      </c>
      <c r="D1781" s="0">
        <f dt2D="0" dtr="0">HYPERLINK("https://www.icra.in/Rating/RatingDetails?CompanyId=0&amp;CompanyName=R.K. Steels", "Rationale")</f>
        <v/>
      </c>
    </row>
    <row r="1782">
      <c r="A1782" s="0" t="s">
        <v>4254</v>
      </c>
      <c r="B1782" s="0" t="s">
        <v>4255</v>
      </c>
      <c r="C1782" s="0" t="s">
        <v>343</v>
      </c>
      <c r="D1782" s="0">
        <f dt2D="0" dtr="0">HYPERLINK("https://www.icra.in/Rating/RatingDetails?CompanyId=0&amp;CompanyName=R.L.AGRO FOODS PVT.LTD.(erstwhile R.L.Foods)", "Rationale")</f>
        <v/>
      </c>
    </row>
    <row r="1783">
      <c r="A1783" s="0" t="s">
        <v>4256</v>
      </c>
      <c r="B1783" s="0" t="s">
        <v>4257</v>
      </c>
      <c r="C1783" s="0" t="s">
        <v>71</v>
      </c>
      <c r="D1783" s="0">
        <f dt2D="0" dtr="0">HYPERLINK("https://www.icra.in/Rating/RatingDetails?CompanyId=0&amp;CompanyName=R.R. Industries", "Rationale")</f>
        <v/>
      </c>
    </row>
    <row r="1784">
      <c r="A1784" s="0" t="s">
        <v>4258</v>
      </c>
      <c r="B1784" s="0" t="s">
        <v>4259</v>
      </c>
      <c r="C1784" s="0" t="s">
        <v>1222</v>
      </c>
      <c r="D1784" s="0">
        <f dt2D="0" dtr="0">HYPERLINK("https://www.icra.in/Rating/RatingDetails?CompanyId=0&amp;CompanyName=R.Rajesh Exports", "Rationale")</f>
        <v/>
      </c>
    </row>
    <row r="1785">
      <c r="A1785" s="0" t="s">
        <v>4260</v>
      </c>
      <c r="B1785" s="0" t="s">
        <v>4261</v>
      </c>
      <c r="C1785" s="0" t="s">
        <v>50</v>
      </c>
      <c r="D1785" s="0">
        <f dt2D="0" dtr="0">HYPERLINK("https://www.icra.in/Rating/RatingDetails?CompanyId=0&amp;CompanyName=R.S. Ajit Singh &amp; Co.(Automotives) Pvt. Ltd.", "Rationale")</f>
        <v/>
      </c>
    </row>
    <row r="1786">
      <c r="A1786" s="0" t="s">
        <v>4262</v>
      </c>
      <c r="B1786" s="0" t="s">
        <v>4263</v>
      </c>
      <c r="C1786" s="0" t="s">
        <v>278</v>
      </c>
      <c r="D1786" s="0">
        <f dt2D="0" dtr="0">HYPERLINK("https://www.icra.in/Rating/RatingDetails?CompanyId=0&amp;CompanyName=R.S. Melgiri &amp; Co.", "Rationale")</f>
        <v/>
      </c>
    </row>
    <row r="1787">
      <c r="A1787" s="0" t="s">
        <v>4264</v>
      </c>
      <c r="B1787" s="0" t="s">
        <v>4265</v>
      </c>
      <c r="C1787" s="0" t="s">
        <v>1158</v>
      </c>
      <c r="D1787" s="0">
        <f dt2D="0" dtr="0">HYPERLINK("https://www.icra.in/Rating/RatingDetails?CompanyId=0&amp;CompanyName=R.V. Plastic Limited", "Rationale")</f>
        <v/>
      </c>
    </row>
    <row r="1788">
      <c r="A1788" s="0" t="s">
        <v>4266</v>
      </c>
      <c r="B1788" s="0" t="s">
        <v>4267</v>
      </c>
      <c r="C1788" s="0" t="s">
        <v>2717</v>
      </c>
      <c r="D1788" s="0">
        <f dt2D="0" dtr="0">HYPERLINK("https://www.icra.in/Rating/RatingDetails?CompanyId=0&amp;CompanyName=RA International", "Rationale")</f>
        <v/>
      </c>
    </row>
    <row r="1789">
      <c r="A1789" s="0" t="s">
        <v>4268</v>
      </c>
      <c r="B1789" s="0" t="s">
        <v>4269</v>
      </c>
      <c r="C1789" s="0" t="s">
        <v>50</v>
      </c>
      <c r="D1789" s="0">
        <f dt2D="0" dtr="0">HYPERLINK("https://www.icra.in/Rating/RatingDetails?CompanyId=0&amp;CompanyName=Raaja Magnetics Limited", "Rationale")</f>
        <v/>
      </c>
    </row>
    <row r="1790">
      <c r="A1790" s="0" t="s">
        <v>4270</v>
      </c>
      <c r="B1790" s="0" t="s">
        <v>4271</v>
      </c>
      <c r="C1790" s="0" t="s">
        <v>314</v>
      </c>
      <c r="D1790" s="0">
        <f dt2D="0" dtr="0">HYPERLINK("https://www.icra.in/Rating/RatingDetails?CompanyId=0&amp;CompanyName=Radhagobinda Rice Mills Private Limited", "Rationale")</f>
        <v/>
      </c>
    </row>
    <row r="1791">
      <c r="A1791" s="0" t="s">
        <v>4272</v>
      </c>
      <c r="B1791" s="0" t="s">
        <v>4273</v>
      </c>
      <c r="C1791" s="0" t="s">
        <v>18</v>
      </c>
      <c r="D1791" s="0">
        <f dt2D="0" dtr="0">HYPERLINK("https://www.icra.in/Rating/RatingDetails?CompanyId=0&amp;CompanyName=Radheshyam Cottex", "Rationale")</f>
        <v/>
      </c>
    </row>
    <row r="1792">
      <c r="A1792" s="0" t="s">
        <v>4274</v>
      </c>
      <c r="B1792" s="0" t="s">
        <v>4275</v>
      </c>
      <c r="C1792" s="0" t="s">
        <v>4276</v>
      </c>
      <c r="D1792" s="0">
        <f dt2D="0" dtr="0">HYPERLINK("https://www.icra.in/Rating/RatingDetails?CompanyId=0&amp;CompanyName=Radheya Machining Limited", "Rationale")</f>
        <v/>
      </c>
    </row>
    <row r="1793">
      <c r="A1793" s="0" t="s">
        <v>4277</v>
      </c>
      <c r="B1793" s="0" t="s">
        <v>4278</v>
      </c>
      <c r="C1793" s="0" t="s">
        <v>1274</v>
      </c>
      <c r="D1793" s="0">
        <f dt2D="0" dtr="0">HYPERLINK("https://www.icra.in/Rating/RatingDetails?CompanyId=0&amp;CompanyName=Radhika Industries", "Rationale")</f>
        <v/>
      </c>
    </row>
    <row r="1794">
      <c r="A1794" s="0" t="s">
        <v>4279</v>
      </c>
      <c r="B1794" s="0" t="s">
        <v>4280</v>
      </c>
      <c r="C1794" s="0" t="s">
        <v>71</v>
      </c>
      <c r="D1794" s="0">
        <f dt2D="0" dtr="0">HYPERLINK("https://www.icra.in/Rating/RatingDetails?CompanyId=0&amp;CompanyName=Radhika Packaging Private Limited", "Rationale")</f>
        <v/>
      </c>
    </row>
    <row r="1795">
      <c r="A1795" s="0" t="s">
        <v>4281</v>
      </c>
      <c r="B1795" s="0" t="s">
        <v>4282</v>
      </c>
      <c r="C1795" s="0" t="s">
        <v>18</v>
      </c>
      <c r="D1795" s="0">
        <f dt2D="0" dtr="0">HYPERLINK("https://www.icra.in/Rating/RatingDetails?CompanyId=0&amp;CompanyName=Radiant Energy Solutions Pvt. Ltd.", "Rationale")</f>
        <v/>
      </c>
    </row>
    <row r="1796">
      <c r="A1796" s="0" t="s">
        <v>4283</v>
      </c>
      <c r="B1796" s="0" t="s">
        <v>4284</v>
      </c>
      <c r="C1796" s="0" t="s">
        <v>2758</v>
      </c>
      <c r="D1796" s="0">
        <f dt2D="0" dtr="0">HYPERLINK("https://www.icra.in/Rating/RatingDetails?CompanyId=0&amp;CompanyName=Radiant Hotels Private Limited", "Rationale")</f>
        <v/>
      </c>
    </row>
    <row r="1797">
      <c r="A1797" s="0" t="s">
        <v>4285</v>
      </c>
      <c r="B1797" s="0" t="s">
        <v>4286</v>
      </c>
      <c r="C1797" s="0" t="s">
        <v>92</v>
      </c>
      <c r="D1797" s="0">
        <f dt2D="0" dtr="0">HYPERLINK("https://www.icra.in/Rating/RatingDetails?CompanyId=0&amp;CompanyName=Radiant Solar Private Limited", "Rationale")</f>
        <v/>
      </c>
    </row>
    <row r="1798">
      <c r="A1798" s="0" t="s">
        <v>4287</v>
      </c>
      <c r="B1798" s="0" t="s">
        <v>4288</v>
      </c>
      <c r="C1798" s="0" t="s">
        <v>983</v>
      </c>
      <c r="D1798" s="0">
        <f dt2D="0" dtr="0">HYPERLINK("https://www.icra.in/Rating/RatingDetails?CompanyId=0&amp;CompanyName=Radius Water Limited", "Rationale")</f>
        <v/>
      </c>
    </row>
    <row r="1799">
      <c r="A1799" s="0" t="s">
        <v>4289</v>
      </c>
      <c r="B1799" s="0" t="s">
        <v>4290</v>
      </c>
      <c r="C1799" s="0" t="s">
        <v>87</v>
      </c>
      <c r="D1799" s="0">
        <f dt2D="0" dtr="0">HYPERLINK("https://www.icra.in/Rating/RatingDetails?CompanyId=0&amp;CompanyName=Rai Bahadur Raghbir Singh Educational Society", "Rationale")</f>
        <v/>
      </c>
    </row>
    <row r="1800">
      <c r="A1800" s="0" t="s">
        <v>4291</v>
      </c>
      <c r="B1800" s="0" t="s">
        <v>4292</v>
      </c>
      <c r="C1800" s="0" t="s">
        <v>4005</v>
      </c>
      <c r="D1800" s="0">
        <f dt2D="0" dtr="0">HYPERLINK("https://www.icra.in/Rating/RatingDetails?CompanyId=0&amp;CompanyName=Raichur Laboratories Pvt. Ltd.", "Rationale")</f>
        <v/>
      </c>
    </row>
    <row r="1801">
      <c r="A1801" s="0" t="s">
        <v>4293</v>
      </c>
      <c r="B1801" s="0" t="s">
        <v>4294</v>
      </c>
      <c r="C1801" s="0" t="s">
        <v>564</v>
      </c>
      <c r="D1801" s="0">
        <f dt2D="0" dtr="0">HYPERLINK("https://www.icra.in/Rating/RatingDetails?CompanyId=0&amp;CompanyName=Raichur Roller Flour Mills", "Rationale")</f>
        <v/>
      </c>
    </row>
    <row r="1802">
      <c r="A1802" s="0" t="s">
        <v>4295</v>
      </c>
      <c r="B1802" s="0" t="s">
        <v>4296</v>
      </c>
      <c r="C1802" s="0" t="s">
        <v>2656</v>
      </c>
      <c r="D1802" s="0">
        <f dt2D="0" dtr="0">HYPERLINK("https://www.icra.in/Rating/RatingDetails?CompanyId=0&amp;CompanyName=Raigarh Champa Rail Infrastructure Private Limited", "Rationale")</f>
        <v/>
      </c>
    </row>
    <row r="1803">
      <c r="A1803" s="0" t="s">
        <v>4297</v>
      </c>
      <c r="B1803" s="0" t="s">
        <v>4298</v>
      </c>
      <c r="C1803" s="0" t="s">
        <v>1564</v>
      </c>
      <c r="D1803" s="0">
        <f dt2D="0" dtr="0">HYPERLINK("https://www.icra.in/Rating/RatingDetails?CompanyId=0&amp;CompanyName=Raigarh Foods &amp; Hotel Business Private Limited", "Rationale")</f>
        <v/>
      </c>
    </row>
    <row r="1804">
      <c r="A1804" s="0" t="s">
        <v>4299</v>
      </c>
      <c r="B1804" s="0" t="s">
        <v>4300</v>
      </c>
      <c r="C1804" s="0" t="s">
        <v>3910</v>
      </c>
      <c r="D1804" s="0">
        <f dt2D="0" dtr="0">HYPERLINK("https://www.icra.in/Rating/RatingDetails?CompanyId=0&amp;CompanyName=Raipur Power and Steel Limited", "Rationale")</f>
        <v/>
      </c>
    </row>
    <row r="1805">
      <c r="A1805" s="0" t="s">
        <v>4301</v>
      </c>
      <c r="B1805" s="0" t="s">
        <v>4302</v>
      </c>
      <c r="C1805" s="0" t="s">
        <v>888</v>
      </c>
      <c r="D1805" s="0">
        <f dt2D="0" dtr="0">HYPERLINK("https://www.icra.in/Rating/RatingDetails?CompanyId=0&amp;CompanyName=Raj Agro", "Rationale")</f>
        <v/>
      </c>
    </row>
    <row r="1806">
      <c r="A1806" s="0" t="s">
        <v>4303</v>
      </c>
      <c r="B1806" s="0" t="s">
        <v>4304</v>
      </c>
      <c r="C1806" s="0" t="s">
        <v>71</v>
      </c>
      <c r="D1806" s="0">
        <f dt2D="0" dtr="0">HYPERLINK("https://www.icra.in/Rating/RatingDetails?CompanyId=0&amp;CompanyName=Raj Engineering Co.", "Rationale")</f>
        <v/>
      </c>
    </row>
    <row r="1807">
      <c r="A1807" s="0" t="s">
        <v>4305</v>
      </c>
      <c r="B1807" s="0" t="s">
        <v>4306</v>
      </c>
      <c r="C1807" s="0" t="s">
        <v>4307</v>
      </c>
      <c r="D1807" s="0">
        <f dt2D="0" dtr="0">HYPERLINK("https://www.icra.in/Rating/RatingDetails?CompanyId=0&amp;CompanyName=Raj Events and Entertainment Private Limited", "Rationale")</f>
        <v/>
      </c>
    </row>
    <row r="1808">
      <c r="A1808" s="0" t="s">
        <v>4308</v>
      </c>
      <c r="B1808" s="0" t="s">
        <v>4309</v>
      </c>
      <c r="C1808" s="0" t="s">
        <v>278</v>
      </c>
      <c r="D1808" s="0">
        <f dt2D="0" dtr="0">HYPERLINK("https://www.icra.in/Rating/RatingDetails?CompanyId=0&amp;CompanyName=Raj Kumar Goel Educational Foundations", "Rationale")</f>
        <v/>
      </c>
    </row>
    <row r="1809">
      <c r="A1809" s="0" t="s">
        <v>4310</v>
      </c>
      <c r="B1809" s="0" t="s">
        <v>4311</v>
      </c>
      <c r="C1809" s="0" t="s">
        <v>256</v>
      </c>
      <c r="D1809" s="0">
        <f dt2D="0" dtr="0">HYPERLINK("https://www.icra.in/Rating/RatingDetails?CompanyId=0&amp;CompanyName=Raj Ratan Smelter Limited", "Rationale")</f>
        <v/>
      </c>
    </row>
    <row r="1810">
      <c r="A1810" s="0" t="s">
        <v>4312</v>
      </c>
      <c r="B1810" s="0" t="s">
        <v>4313</v>
      </c>
      <c r="C1810" s="0" t="s">
        <v>4314</v>
      </c>
      <c r="D1810" s="0">
        <f dt2D="0" dtr="0">HYPERLINK("https://www.icra.in/Rating/RatingDetails?CompanyId=0&amp;CompanyName=Raja Constructions", "Rationale")</f>
        <v/>
      </c>
    </row>
    <row r="1811">
      <c r="A1811" s="0" t="s">
        <v>4315</v>
      </c>
      <c r="B1811" s="0" t="s">
        <v>4316</v>
      </c>
      <c r="C1811" s="0" t="s">
        <v>623</v>
      </c>
      <c r="D1811" s="0">
        <f dt2D="0" dtr="0">HYPERLINK("https://www.icra.in/Rating/RatingDetails?CompanyId=0&amp;CompanyName=Rajalaxmi Education Trust", "Rationale")</f>
        <v/>
      </c>
    </row>
    <row r="1812">
      <c r="A1812" s="0" t="s">
        <v>4317</v>
      </c>
      <c r="B1812" s="0" t="s">
        <v>4318</v>
      </c>
      <c r="C1812" s="0" t="s">
        <v>4319</v>
      </c>
      <c r="D1812" s="0">
        <f dt2D="0" dtr="0">HYPERLINK("https://www.icra.in/Rating/RatingDetails?CompanyId=0&amp;CompanyName=Rajam Engineering Contractors", "Rationale")</f>
        <v/>
      </c>
    </row>
    <row r="1813">
      <c r="A1813" s="0" t="s">
        <v>4320</v>
      </c>
      <c r="B1813" s="0" t="s">
        <v>4321</v>
      </c>
      <c r="C1813" s="0" t="s">
        <v>1990</v>
      </c>
      <c r="D1813" s="0">
        <f dt2D="0" dtr="0">HYPERLINK("https://www.icra.in/Rating/RatingDetails?CompanyId=0&amp;CompanyName=Rajamahal International Pvt. Ltd.", "Rationale")</f>
        <v/>
      </c>
    </row>
    <row r="1814">
      <c r="A1814" s="0" t="s">
        <v>4322</v>
      </c>
      <c r="B1814" s="0" t="s">
        <v>4323</v>
      </c>
      <c r="C1814" s="0" t="s">
        <v>439</v>
      </c>
      <c r="D1814" s="0">
        <f dt2D="0" dtr="0">HYPERLINK("https://www.icra.in/Rating/RatingDetails?CompanyId=0&amp;CompanyName=Rajamahendravaram Municipal Corporation", "Rationale")</f>
        <v/>
      </c>
    </row>
    <row r="1815">
      <c r="A1815" s="0" t="s">
        <v>4324</v>
      </c>
      <c r="B1815" s="0" t="s">
        <v>4325</v>
      </c>
      <c r="C1815" s="0" t="s">
        <v>4326</v>
      </c>
      <c r="D1815" s="0">
        <f dt2D="0" dtr="0">HYPERLINK("https://www.icra.in/Rating/RatingDetails?CompanyId=0&amp;CompanyName=Rajarambapu Patil Sahakari Sakhar Karkhana Limited", "Rationale")</f>
        <v/>
      </c>
    </row>
    <row r="1816">
      <c r="A1816" s="0" t="s">
        <v>4327</v>
      </c>
      <c r="B1816" s="0" t="s">
        <v>4328</v>
      </c>
      <c r="C1816" s="0" t="s">
        <v>100</v>
      </c>
      <c r="D1816" s="0">
        <f dt2D="0" dtr="0">HYPERLINK("https://www.icra.in/Rating/RatingDetails?CompanyId=0&amp;CompanyName=Rajasthan Arts and Crafts House", "Rationale")</f>
        <v/>
      </c>
    </row>
    <row r="1817">
      <c r="A1817" s="0" t="s">
        <v>4329</v>
      </c>
      <c r="B1817" s="0" t="s">
        <v>4330</v>
      </c>
      <c r="C1817" s="0" t="s">
        <v>891</v>
      </c>
      <c r="D1817" s="0">
        <f dt2D="0" dtr="0">HYPERLINK("https://www.icra.in/Rating/RatingDetails?CompanyId=0&amp;CompanyName=Rajasthan Tube Manufacturing Company Limited", "Rationale")</f>
        <v/>
      </c>
    </row>
    <row r="1818">
      <c r="A1818" s="0" t="s">
        <v>4331</v>
      </c>
      <c r="B1818" s="0" t="s">
        <v>4332</v>
      </c>
      <c r="C1818" s="0" t="s">
        <v>489</v>
      </c>
      <c r="D1818" s="0">
        <f dt2D="0" dtr="0">HYPERLINK("https://www.icra.in/Rating/RatingDetails?CompanyId=0&amp;CompanyName=Rajeev Prakashan", "Rationale")</f>
        <v/>
      </c>
    </row>
    <row r="1819">
      <c r="A1819" s="0" t="s">
        <v>4333</v>
      </c>
      <c r="B1819" s="0" t="s">
        <v>4334</v>
      </c>
      <c r="C1819" s="0" t="s">
        <v>2758</v>
      </c>
      <c r="D1819" s="0">
        <f dt2D="0" dtr="0">HYPERLINK("https://www.icra.in/Rating/RatingDetails?CompanyId=0&amp;CompanyName=Rajesh Construction Company", "Rationale")</f>
        <v/>
      </c>
    </row>
    <row r="1820">
      <c r="A1820" s="0" t="s">
        <v>4335</v>
      </c>
      <c r="B1820" s="0" t="s">
        <v>4336</v>
      </c>
      <c r="C1820" s="0" t="s">
        <v>3777</v>
      </c>
      <c r="D1820" s="0">
        <f dt2D="0" dtr="0">HYPERLINK("https://www.icra.in/Rating/RatingDetails?CompanyId=0&amp;CompanyName=Rajgangpur Ispat Udyog", "Rationale")</f>
        <v/>
      </c>
    </row>
    <row r="1821">
      <c r="A1821" s="0" t="s">
        <v>4337</v>
      </c>
      <c r="B1821" s="0" t="s">
        <v>4338</v>
      </c>
      <c r="C1821" s="0" t="s">
        <v>211</v>
      </c>
      <c r="D1821" s="0">
        <f dt2D="0" dtr="0">HYPERLINK("https://www.icra.in/Rating/RatingDetails?CompanyId=0&amp;CompanyName=Rajnish Steels", "Rationale")</f>
        <v/>
      </c>
    </row>
    <row r="1822">
      <c r="A1822" s="0" t="s">
        <v>4339</v>
      </c>
      <c r="B1822" s="0" t="s">
        <v>4340</v>
      </c>
      <c r="C1822" s="0" t="s">
        <v>71</v>
      </c>
      <c r="D1822" s="0">
        <f dt2D="0" dtr="0">HYPERLINK("https://www.icra.in/Rating/RatingDetails?CompanyId=0&amp;CompanyName=Rajrajeshwar Cotton Industries", "Rationale")</f>
        <v/>
      </c>
    </row>
    <row r="1823">
      <c r="A1823" s="0" t="s">
        <v>4341</v>
      </c>
      <c r="B1823" s="0" t="s">
        <v>4342</v>
      </c>
      <c r="C1823" s="0" t="s">
        <v>1302</v>
      </c>
      <c r="D1823" s="0">
        <f dt2D="0" dtr="0">HYPERLINK("https://www.icra.in/Rating/RatingDetails?CompanyId=0&amp;CompanyName=Rajsamadhiyala Spintex Private Limited", "Rationale")</f>
        <v/>
      </c>
    </row>
    <row r="1824">
      <c r="A1824" s="0" t="s">
        <v>4343</v>
      </c>
      <c r="B1824" s="0" t="s">
        <v>4344</v>
      </c>
      <c r="C1824" s="0" t="s">
        <v>1575</v>
      </c>
      <c r="D1824" s="0">
        <f dt2D="0" dtr="0">HYPERLINK("https://www.icra.in/Rating/RatingDetails?CompanyId=0&amp;CompanyName=Rajshree Sugars &amp; Chemicals Limited", "Rationale")</f>
        <v/>
      </c>
    </row>
    <row r="1825">
      <c r="A1825" s="0" t="s">
        <v>4345</v>
      </c>
      <c r="B1825" s="0" t="s">
        <v>4346</v>
      </c>
      <c r="C1825" s="0" t="s">
        <v>346</v>
      </c>
      <c r="D1825" s="0">
        <f dt2D="0" dtr="0">HYPERLINK("https://www.icra.in/Rating/RatingDetails?CompanyId=0&amp;CompanyName=Ram Chander Builders Private Limited", "Rationale")</f>
        <v/>
      </c>
    </row>
    <row r="1826">
      <c r="A1826" s="0" t="s">
        <v>4347</v>
      </c>
      <c r="B1826" s="0" t="s">
        <v>4348</v>
      </c>
      <c r="C1826" s="0" t="s">
        <v>3734</v>
      </c>
      <c r="D1826" s="0">
        <f dt2D="0" dtr="0">HYPERLINK("https://www.icra.in/Rating/RatingDetails?CompanyId=0&amp;CompanyName=Rama Cotspin Private Limited", "Rationale")</f>
        <v/>
      </c>
    </row>
    <row r="1827">
      <c r="A1827" s="0" t="s">
        <v>4349</v>
      </c>
      <c r="B1827" s="0" t="s">
        <v>4350</v>
      </c>
      <c r="C1827" s="0" t="s">
        <v>4351</v>
      </c>
      <c r="D1827" s="0">
        <f dt2D="0" dtr="0">HYPERLINK("https://www.icra.in/Rating/RatingDetails?CompanyId=0&amp;CompanyName=Rama Cylinders Private Limited", "Rationale")</f>
        <v/>
      </c>
    </row>
    <row r="1828">
      <c r="A1828" s="0" t="s">
        <v>4352</v>
      </c>
      <c r="B1828" s="0" t="s">
        <v>4353</v>
      </c>
      <c r="C1828" s="0" t="s">
        <v>253</v>
      </c>
      <c r="D1828" s="0">
        <f dt2D="0" dtr="0">HYPERLINK("https://www.icra.in/Rating/RatingDetails?CompanyId=0&amp;CompanyName=Rama Paper Mills Limited", "Rationale")</f>
        <v/>
      </c>
    </row>
    <row r="1829">
      <c r="A1829" s="0" t="s">
        <v>4354</v>
      </c>
      <c r="B1829" s="0" t="s">
        <v>4355</v>
      </c>
      <c r="C1829" s="0" t="s">
        <v>2134</v>
      </c>
      <c r="D1829" s="0">
        <f dt2D="0" dtr="0">HYPERLINK("https://www.icra.in/Rating/RatingDetails?CompanyId=0&amp;CompanyName=Ramagundam Municipal Corporation", "Rationale")</f>
        <v/>
      </c>
    </row>
    <row r="1830">
      <c r="A1830" s="0" t="s">
        <v>4356</v>
      </c>
      <c r="B1830" s="0" t="s">
        <v>4357</v>
      </c>
      <c r="C1830" s="0" t="s">
        <v>4358</v>
      </c>
      <c r="D1830" s="0">
        <f dt2D="0" dtr="0">HYPERLINK("https://www.icra.in/Rating/RatingDetails?CompanyId=0&amp;CompanyName=Ramakrishna Housing (P) Limited", "Rationale")</f>
        <v/>
      </c>
    </row>
    <row r="1831">
      <c r="A1831" s="0" t="s">
        <v>4359</v>
      </c>
      <c r="B1831" s="0" t="s">
        <v>4360</v>
      </c>
      <c r="C1831" s="0" t="s">
        <v>71</v>
      </c>
      <c r="D1831" s="0">
        <f dt2D="0" dtr="0">HYPERLINK("https://www.icra.in/Rating/RatingDetails?CompanyId=0&amp;CompanyName=Ramakrishna Teletronics Pvt. Ltd", "Rationale")</f>
        <v/>
      </c>
    </row>
    <row r="1832">
      <c r="A1832" s="0" t="s">
        <v>4361</v>
      </c>
      <c r="B1832" s="0" t="s">
        <v>4362</v>
      </c>
      <c r="C1832" s="0" t="s">
        <v>3060</v>
      </c>
      <c r="D1832" s="0">
        <f dt2D="0" dtr="0">HYPERLINK("https://www.icra.in/Rating/RatingDetails?CompanyId=0&amp;CompanyName=Raman Agro Exports Pvt Ltd", "Rationale")</f>
        <v/>
      </c>
    </row>
    <row r="1833">
      <c r="A1833" s="0" t="s">
        <v>4363</v>
      </c>
      <c r="B1833" s="0" t="s">
        <v>4364</v>
      </c>
      <c r="C1833" s="0" t="s">
        <v>3083</v>
      </c>
      <c r="D1833" s="0">
        <f dt2D="0" dtr="0">HYPERLINK("https://www.icra.in/Rating/RatingDetails?CompanyId=0&amp;CompanyName=Ramana Educational Trust", "Rationale")</f>
        <v/>
      </c>
    </row>
    <row r="1834">
      <c r="A1834" s="0" t="s">
        <v>4365</v>
      </c>
      <c r="B1834" s="0" t="s">
        <v>4366</v>
      </c>
      <c r="C1834" s="0" t="s">
        <v>3268</v>
      </c>
      <c r="D1834" s="0">
        <f dt2D="0" dtr="0">HYPERLINK("https://www.icra.in/Rating/RatingDetails?CompanyId=0&amp;CompanyName=Ramapriya Solar Energy Private Limited", "Rationale")</f>
        <v/>
      </c>
    </row>
    <row r="1835">
      <c r="A1835" s="0" t="s">
        <v>4367</v>
      </c>
      <c r="B1835" s="0" t="s">
        <v>4368</v>
      </c>
      <c r="C1835" s="0" t="s">
        <v>71</v>
      </c>
      <c r="D1835" s="0">
        <f dt2D="0" dtr="0">HYPERLINK("https://www.icra.in/Rating/RatingDetails?CompanyId=0&amp;CompanyName=Ramco Extrusion Private Limited", "Rationale")</f>
        <v/>
      </c>
    </row>
    <row r="1836">
      <c r="A1836" s="0" t="s">
        <v>4369</v>
      </c>
      <c r="B1836" s="0" t="s">
        <v>4370</v>
      </c>
      <c r="C1836" s="0" t="s">
        <v>4371</v>
      </c>
      <c r="D1836" s="0">
        <f dt2D="0" dtr="0">HYPERLINK("https://www.icra.in/Rating/RatingDetails?CompanyId=0&amp;CompanyName=Ramee Hotels Private Limited", "Rationale")</f>
        <v/>
      </c>
    </row>
    <row r="1837">
      <c r="A1837" s="0" t="s">
        <v>4372</v>
      </c>
      <c r="B1837" s="0" t="s">
        <v>4373</v>
      </c>
      <c r="C1837" s="0" t="s">
        <v>1412</v>
      </c>
      <c r="D1837" s="0">
        <f dt2D="0" dtr="0">HYPERLINK("https://www.icra.in/Rating/RatingDetails?CompanyId=0&amp;CompanyName=Ramesh Company", "Rationale")</f>
        <v/>
      </c>
    </row>
    <row r="1838">
      <c r="A1838" s="0" t="s">
        <v>4374</v>
      </c>
      <c r="B1838" s="0" t="s">
        <v>4375</v>
      </c>
      <c r="C1838" s="0" t="s">
        <v>71</v>
      </c>
      <c r="D1838" s="0">
        <f dt2D="0" dtr="0">HYPERLINK("https://www.icra.in/Rating/RatingDetails?CompanyId=0&amp;CompanyName=Rameshwar Cottex", "Rationale")</f>
        <v/>
      </c>
    </row>
    <row r="1839">
      <c r="A1839" s="0" t="s">
        <v>4376</v>
      </c>
      <c r="B1839" s="0" t="s">
        <v>4377</v>
      </c>
      <c r="C1839" s="0" t="s">
        <v>92</v>
      </c>
      <c r="D1839" s="0">
        <f dt2D="0" dtr="0">HYPERLINK("https://www.icra.in/Rating/RatingDetails?CompanyId=0&amp;CompanyName=Rameshwar Industries", "Rationale")</f>
        <v/>
      </c>
    </row>
    <row r="1840">
      <c r="A1840" s="0" t="s">
        <v>4378</v>
      </c>
      <c r="B1840" s="0" t="s">
        <v>4379</v>
      </c>
      <c r="C1840" s="0" t="s">
        <v>4380</v>
      </c>
      <c r="D1840" s="0">
        <f dt2D="0" dtr="0">HYPERLINK("https://www.icra.in/Rating/RatingDetails?CompanyId=0&amp;CompanyName=Rameshwar Textile Mills Ltd.", "Rationale")</f>
        <v/>
      </c>
    </row>
    <row r="1841">
      <c r="A1841" s="0" t="s">
        <v>4381</v>
      </c>
      <c r="B1841" s="0" t="s">
        <v>4382</v>
      </c>
      <c r="C1841" s="0" t="s">
        <v>715</v>
      </c>
      <c r="D1841" s="0">
        <f dt2D="0" dtr="0">HYPERLINK("https://www.icra.in/Rating/RatingDetails?CompanyId=0&amp;CompanyName=Rameswar Udyog Private Limited", "Rationale")</f>
        <v/>
      </c>
    </row>
    <row r="1842">
      <c r="A1842" s="0" t="s">
        <v>4383</v>
      </c>
      <c r="B1842" s="0" t="s">
        <v>4384</v>
      </c>
      <c r="C1842" s="0" t="s">
        <v>2106</v>
      </c>
      <c r="D1842" s="0">
        <f dt2D="0" dtr="0">HYPERLINK("https://www.icra.in/Rating/RatingDetails?CompanyId=0&amp;CompanyName=Ramkumar Mills Private Limited", "Rationale")</f>
        <v/>
      </c>
    </row>
    <row r="1843">
      <c r="A1843" s="0" t="s">
        <v>4385</v>
      </c>
      <c r="B1843" s="0" t="s">
        <v>4386</v>
      </c>
      <c r="C1843" s="0" t="s">
        <v>71</v>
      </c>
      <c r="D1843" s="0">
        <f dt2D="0" dtr="0">HYPERLINK("https://www.icra.in/Rating/RatingDetails?CompanyId=0&amp;CompanyName=Ramnord Research Laboratories Pvt. Ltd.", "Rationale")</f>
        <v/>
      </c>
    </row>
    <row r="1844">
      <c r="A1844" s="0" t="s">
        <v>4387</v>
      </c>
      <c r="B1844" s="0" t="s">
        <v>4388</v>
      </c>
      <c r="C1844" s="0" t="s">
        <v>1417</v>
      </c>
      <c r="D1844" s="0">
        <f dt2D="0" dtr="0">HYPERLINK("https://www.icra.in/Rating/RatingDetails?CompanyId=0&amp;CompanyName=Ramsons Casting Private Limited", "Rationale")</f>
        <v/>
      </c>
    </row>
    <row r="1845">
      <c r="A1845" s="0" t="s">
        <v>4389</v>
      </c>
      <c r="B1845" s="0" t="s">
        <v>4390</v>
      </c>
      <c r="C1845" s="0" t="s">
        <v>628</v>
      </c>
      <c r="D1845" s="0">
        <f dt2D="0" dtr="0">HYPERLINK("https://www.icra.in/Rating/RatingDetails?CompanyId=0&amp;CompanyName=Ranchi Expressway Limited", "Rationale")</f>
        <v/>
      </c>
    </row>
    <row r="1846">
      <c r="A1846" s="0" t="s">
        <v>4391</v>
      </c>
      <c r="B1846" s="0" t="s">
        <v>4392</v>
      </c>
      <c r="C1846" s="0" t="s">
        <v>278</v>
      </c>
      <c r="D1846" s="0">
        <f dt2D="0" dtr="0">HYPERLINK("https://www.icra.in/Rating/RatingDetails?CompanyId=0&amp;CompanyName=Ranga Overseas Private Limited", "Rationale")</f>
        <v/>
      </c>
    </row>
    <row r="1847">
      <c r="A1847" s="0" t="s">
        <v>4393</v>
      </c>
      <c r="B1847" s="0" t="s">
        <v>4394</v>
      </c>
      <c r="C1847" s="0" t="s">
        <v>1035</v>
      </c>
      <c r="D1847" s="0">
        <f dt2D="0" dtr="0">HYPERLINK("https://www.icra.in/Rating/RatingDetails?CompanyId=0&amp;CompanyName=Ranganathan Rajeswari Charitable Trust", "Rationale")</f>
        <v/>
      </c>
    </row>
    <row r="1848">
      <c r="A1848" s="0" t="s">
        <v>4395</v>
      </c>
      <c r="B1848" s="0" t="s">
        <v>4396</v>
      </c>
      <c r="C1848" s="0" t="s">
        <v>508</v>
      </c>
      <c r="D1848" s="0">
        <f dt2D="0" dtr="0">HYPERLINK("https://www.icra.in/Rating/RatingDetails?CompanyId=0&amp;CompanyName=Ranjan Fabrics Private Limited", "Rationale")</f>
        <v/>
      </c>
    </row>
    <row r="1849">
      <c r="A1849" s="0" t="s">
        <v>4397</v>
      </c>
      <c r="B1849" s="0" t="s">
        <v>4398</v>
      </c>
      <c r="C1849" s="0" t="s">
        <v>4399</v>
      </c>
      <c r="D1849" s="0">
        <f dt2D="0" dtr="0">HYPERLINK("https://www.icra.in/Rating/RatingDetails?CompanyId=0&amp;CompanyName=Rapid Metrorail Gurgaon Limited", "Rationale")</f>
        <v/>
      </c>
    </row>
    <row r="1850">
      <c r="A1850" s="0" t="s">
        <v>4400</v>
      </c>
      <c r="B1850" s="0" t="s">
        <v>4401</v>
      </c>
      <c r="C1850" s="0" t="s">
        <v>4399</v>
      </c>
      <c r="D1850" s="0">
        <f dt2D="0" dtr="0">HYPERLINK("https://www.icra.in/Rating/RatingDetails?CompanyId=0&amp;CompanyName=Rapid Metrorail Gurgaon South Limited", "Rationale")</f>
        <v/>
      </c>
    </row>
    <row r="1851">
      <c r="A1851" s="0" t="s">
        <v>4402</v>
      </c>
      <c r="B1851" s="0" t="s">
        <v>4403</v>
      </c>
      <c r="C1851" s="0" t="s">
        <v>1674</v>
      </c>
      <c r="D1851" s="0">
        <f dt2D="0" dtr="0">HYPERLINK("https://www.icra.in/Rating/RatingDetails?CompanyId=0&amp;CompanyName=RAS Polytex Private Limited", "Rationale")</f>
        <v/>
      </c>
    </row>
    <row r="1852">
      <c r="A1852" s="0" t="s">
        <v>4404</v>
      </c>
      <c r="B1852" s="0" t="s">
        <v>4405</v>
      </c>
      <c r="C1852" s="0" t="s">
        <v>1009</v>
      </c>
      <c r="D1852" s="0">
        <f dt2D="0" dtr="0">HYPERLINK("https://www.icra.in/Rating/RatingDetails?CompanyId=0&amp;CompanyName=Rashmi Housing Private Limited", "Rationale")</f>
        <v/>
      </c>
    </row>
    <row r="1853">
      <c r="A1853" s="0" t="s">
        <v>4406</v>
      </c>
      <c r="B1853" s="0" t="s">
        <v>4407</v>
      </c>
      <c r="C1853" s="0" t="s">
        <v>71</v>
      </c>
      <c r="D1853" s="0">
        <f dt2D="0" dtr="0">HYPERLINK("https://www.icra.in/Rating/RatingDetails?CompanyId=0&amp;CompanyName=Rathi Graphic Technologies Limited", "Rationale")</f>
        <v/>
      </c>
    </row>
    <row r="1854">
      <c r="A1854" s="0" t="s">
        <v>4408</v>
      </c>
      <c r="B1854" s="0" t="s">
        <v>4409</v>
      </c>
      <c r="C1854" s="0" t="s">
        <v>106</v>
      </c>
      <c r="D1854" s="0">
        <f dt2D="0" dtr="0">HYPERLINK("https://www.icra.in/Rating/RatingDetails?CompanyId=0&amp;CompanyName=Rathnavel Subramaniam Educational Trust", "Rationale")</f>
        <v/>
      </c>
    </row>
    <row r="1855">
      <c r="A1855" s="0" t="s">
        <v>4410</v>
      </c>
      <c r="B1855" s="0" t="s">
        <v>4411</v>
      </c>
      <c r="C1855" s="0" t="s">
        <v>1174</v>
      </c>
      <c r="D1855" s="0">
        <f dt2D="0" dtr="0">HYPERLINK("https://www.icra.in/Rating/RatingDetails?CompanyId=0&amp;CompanyName=Ravi Steel and Renewables Private Limited (Formerly Ravi Iron Limited)", "Rationale")</f>
        <v/>
      </c>
    </row>
    <row r="1856">
      <c r="A1856" s="0" t="s">
        <v>4412</v>
      </c>
      <c r="B1856" s="0" t="s">
        <v>4413</v>
      </c>
      <c r="C1856" s="0" t="s">
        <v>74</v>
      </c>
      <c r="D1856" s="0">
        <f dt2D="0" dtr="0">HYPERLINK("https://www.icra.in/Rating/RatingDetails?CompanyId=0&amp;CompanyName=Ravindra Rice &amp; General Mills", "Rationale")</f>
        <v/>
      </c>
    </row>
    <row r="1857">
      <c r="A1857" s="0" t="s">
        <v>4414</v>
      </c>
      <c r="B1857" s="0" t="s">
        <v>4415</v>
      </c>
      <c r="C1857" s="0" t="s">
        <v>71</v>
      </c>
      <c r="D1857" s="0">
        <f dt2D="0" dtr="0">HYPERLINK("https://www.icra.in/Rating/RatingDetails?CompanyId=0&amp;CompanyName=Rayani Spintex Private Limited", "Rationale")</f>
        <v/>
      </c>
    </row>
    <row r="1858">
      <c r="A1858" s="0" t="s">
        <v>4416</v>
      </c>
      <c r="B1858" s="0" t="s">
        <v>4417</v>
      </c>
      <c r="C1858" s="0" t="s">
        <v>439</v>
      </c>
      <c r="D1858" s="0">
        <f dt2D="0" dtr="0">HYPERLINK("https://www.icra.in/Rating/RatingDetails?CompanyId=0&amp;CompanyName=Rayat &amp; Bahra Group Of Institutes:An Educational and Charitable Society", "Rationale")</f>
        <v/>
      </c>
    </row>
    <row r="1859">
      <c r="A1859" s="0" t="s">
        <v>4418</v>
      </c>
      <c r="B1859" s="0" t="s">
        <v>4419</v>
      </c>
      <c r="C1859" s="0" t="s">
        <v>71</v>
      </c>
      <c r="D1859" s="0">
        <f dt2D="0" dtr="0">HYPERLINK("https://www.icra.in/Rating/RatingDetails?CompanyId=0&amp;CompanyName=Rayban Foods Private Limited", "Rationale")</f>
        <v/>
      </c>
    </row>
    <row r="1860">
      <c r="A1860" s="0" t="s">
        <v>4420</v>
      </c>
      <c r="B1860" s="0" t="s">
        <v>4421</v>
      </c>
      <c r="C1860" s="0" t="s">
        <v>3495</v>
      </c>
      <c r="D1860" s="0">
        <f dt2D="0" dtr="0">HYPERLINK("https://www.icra.in/Rating/RatingDetails?CompanyId=0&amp;CompanyName=Real Granito Pvt. Ltd.", "Rationale")</f>
        <v/>
      </c>
    </row>
    <row r="1861">
      <c r="A1861" s="0" t="s">
        <v>4422</v>
      </c>
      <c r="B1861" s="0" t="s">
        <v>4423</v>
      </c>
      <c r="C1861" s="0" t="s">
        <v>1917</v>
      </c>
      <c r="D1861" s="0">
        <f dt2D="0" dtr="0">HYPERLINK("https://www.icra.in/Rating/RatingDetails?CompanyId=0&amp;CompanyName=Real Growth Commercial Enterprises Limited", "Rationale")</f>
        <v/>
      </c>
    </row>
    <row r="1862">
      <c r="A1862" s="0" t="s">
        <v>4424</v>
      </c>
      <c r="B1862" s="0" t="s">
        <v>4425</v>
      </c>
      <c r="C1862" s="0" t="s">
        <v>4426</v>
      </c>
      <c r="D1862" s="0">
        <f dt2D="0" dtr="0">HYPERLINK("https://www.icra.in/Rating/RatingDetails?CompanyId=0&amp;CompanyName=Realtime Techsolutions Pvt. Ltd.", "Rationale")</f>
        <v/>
      </c>
    </row>
    <row r="1863">
      <c r="A1863" s="0" t="s">
        <v>4427</v>
      </c>
      <c r="B1863" s="0" t="s">
        <v>4428</v>
      </c>
      <c r="C1863" s="0" t="s">
        <v>1497</v>
      </c>
      <c r="D1863" s="0">
        <f dt2D="0" dtr="0">HYPERLINK("https://www.icra.in/Rating/RatingDetails?CompanyId=0&amp;CompanyName=Reddy Pharmaceuticals Limited", "Rationale")</f>
        <v/>
      </c>
    </row>
    <row r="1864">
      <c r="A1864" s="0" t="s">
        <v>4429</v>
      </c>
      <c r="B1864" s="0" t="s">
        <v>4430</v>
      </c>
      <c r="C1864" s="0" t="s">
        <v>223</v>
      </c>
      <c r="D1864" s="0">
        <f dt2D="0" dtr="0">HYPERLINK("https://www.icra.in/Rating/RatingDetails?CompanyId=0&amp;CompanyName=Reflexions Narayani Impex Private Limited", "Rationale")</f>
        <v/>
      </c>
    </row>
    <row r="1865">
      <c r="A1865" s="0" t="s">
        <v>4431</v>
      </c>
      <c r="B1865" s="0" t="s">
        <v>4432</v>
      </c>
      <c r="C1865" s="0" t="s">
        <v>4433</v>
      </c>
      <c r="D1865" s="0">
        <f dt2D="0" dtr="0">HYPERLINK("https://www.icra.in/Rating/RatingDetails?CompanyId=0&amp;CompanyName=Regen Infrastructure and Services Private Limited", "Rationale")</f>
        <v/>
      </c>
    </row>
    <row r="1866">
      <c r="A1866" s="0" t="s">
        <v>4434</v>
      </c>
      <c r="B1866" s="0" t="s">
        <v>4435</v>
      </c>
      <c r="C1866" s="0" t="s">
        <v>4433</v>
      </c>
      <c r="D1866" s="0">
        <f dt2D="0" dtr="0">HYPERLINK("https://www.icra.in/Rating/RatingDetails?CompanyId=0&amp;CompanyName=Regen Powertech Private Limited", "Rationale")</f>
        <v/>
      </c>
    </row>
    <row r="1867">
      <c r="A1867" s="0" t="s">
        <v>4436</v>
      </c>
      <c r="B1867" s="0" t="s">
        <v>4437</v>
      </c>
      <c r="C1867" s="0" t="s">
        <v>4438</v>
      </c>
      <c r="D1867" s="0">
        <f dt2D="0" dtr="0">HYPERLINK("https://www.icra.in/Rating/RatingDetails?CompanyId=0&amp;CompanyName=Regency Ispat Private Limited", "Rationale")</f>
        <v/>
      </c>
    </row>
    <row r="1868">
      <c r="A1868" s="0" t="s">
        <v>4439</v>
      </c>
      <c r="B1868" s="0" t="s">
        <v>4440</v>
      </c>
      <c r="C1868" s="0" t="s">
        <v>39</v>
      </c>
      <c r="D1868" s="0">
        <f dt2D="0" dtr="0">HYPERLINK("https://www.icra.in/Rating/RatingDetails?CompanyId=0&amp;CompanyName=Regency Nirman Limited", "Rationale")</f>
        <v/>
      </c>
    </row>
    <row r="1869">
      <c r="A1869" s="0" t="s">
        <v>4441</v>
      </c>
      <c r="B1869" s="0" t="s">
        <v>4442</v>
      </c>
      <c r="C1869" s="0" t="s">
        <v>3060</v>
      </c>
      <c r="D1869" s="0">
        <f dt2D="0" dtr="0">HYPERLINK("https://www.icra.in/Rating/RatingDetails?CompanyId=0&amp;CompanyName=Regent Granito India Ltd.", "Rationale")</f>
        <v/>
      </c>
    </row>
    <row r="1870">
      <c r="A1870" s="0" t="s">
        <v>4443</v>
      </c>
      <c r="B1870" s="0" t="s">
        <v>4444</v>
      </c>
      <c r="C1870" s="0" t="s">
        <v>4445</v>
      </c>
      <c r="D1870" s="0">
        <f dt2D="0" dtr="0">HYPERLINK("https://www.icra.in/Rating/RatingDetails?CompanyId=0&amp;CompanyName=Rehber Food Industries Private Limited", "Rationale")</f>
        <v/>
      </c>
    </row>
    <row r="1871">
      <c r="A1871" s="0" t="s">
        <v>4446</v>
      </c>
      <c r="B1871" s="0" t="s">
        <v>4447</v>
      </c>
      <c r="C1871" s="0" t="s">
        <v>146</v>
      </c>
      <c r="D1871" s="0">
        <f dt2D="0" dtr="0">HYPERLINK("https://www.icra.in/Rating/RatingDetails?CompanyId=0&amp;CompanyName=Relcom Technology Pvt Ltd", "Rationale")</f>
        <v/>
      </c>
    </row>
    <row r="1872">
      <c r="A1872" s="0" t="s">
        <v>4448</v>
      </c>
      <c r="B1872" s="0" t="s">
        <v>4449</v>
      </c>
      <c r="C1872" s="0" t="s">
        <v>278</v>
      </c>
      <c r="D1872" s="0">
        <f dt2D="0" dtr="0">HYPERLINK("https://www.icra.in/Rating/RatingDetails?CompanyId=0&amp;CompanyName=Reliable Agencies", "Rationale")</f>
        <v/>
      </c>
    </row>
    <row r="1873">
      <c r="A1873" s="0" t="s">
        <v>4450</v>
      </c>
      <c r="B1873" s="0" t="s">
        <v>4451</v>
      </c>
      <c r="C1873" s="0" t="s">
        <v>2632</v>
      </c>
      <c r="D1873" s="0">
        <f dt2D="0" dtr="0">HYPERLINK("https://www.icra.in/Rating/RatingDetails?CompanyId=0&amp;CompanyName=Reliable Spaces Private Limited", "Rationale")</f>
        <v/>
      </c>
    </row>
    <row r="1874">
      <c r="A1874" s="0" t="s">
        <v>4452</v>
      </c>
      <c r="B1874" s="0" t="s">
        <v>4453</v>
      </c>
      <c r="C1874" s="0" t="s">
        <v>2525</v>
      </c>
      <c r="D1874" s="0">
        <f dt2D="0" dtr="0">HYPERLINK("https://www.icra.in/Rating/RatingDetails?CompanyId=0&amp;CompanyName=Reliance Chemotex Industries Limited", "Rationale")</f>
        <v/>
      </c>
    </row>
    <row r="1875">
      <c r="A1875" s="0" t="s">
        <v>4454</v>
      </c>
      <c r="B1875" s="0" t="s">
        <v>4455</v>
      </c>
      <c r="C1875" s="0" t="s">
        <v>50</v>
      </c>
      <c r="D1875" s="0">
        <f dt2D="0" dtr="0">HYPERLINK("https://www.icra.in/Rating/RatingDetails?CompanyId=0&amp;CompanyName=Reliance Communications Limited", "Rationale")</f>
        <v/>
      </c>
    </row>
    <row r="1876">
      <c r="A1876" s="0" t="s">
        <v>4456</v>
      </c>
      <c r="B1876" s="0" t="s">
        <v>4457</v>
      </c>
      <c r="C1876" s="0" t="s">
        <v>600</v>
      </c>
      <c r="D1876" s="0">
        <f dt2D="0" dtr="0">HYPERLINK("https://www.icra.in/Rating/RatingDetails?CompanyId=0&amp;CompanyName=Reliance Home Finance Limited", "Rationale")</f>
        <v/>
      </c>
    </row>
    <row r="1877">
      <c r="A1877" s="0" t="s">
        <v>4458</v>
      </c>
      <c r="B1877" s="0" t="s">
        <v>4459</v>
      </c>
      <c r="C1877" s="0" t="s">
        <v>103</v>
      </c>
      <c r="D1877" s="0">
        <f dt2D="0" dtr="0">HYPERLINK("https://www.icra.in/Rating/RatingDetails?CompanyId=0&amp;CompanyName=Reliance Industrial Consortium Limited", "Rationale")</f>
        <v/>
      </c>
    </row>
    <row r="1878">
      <c r="A1878" s="0" t="s">
        <v>4460</v>
      </c>
      <c r="B1878" s="0" t="s">
        <v>4461</v>
      </c>
      <c r="C1878" s="0" t="s">
        <v>50</v>
      </c>
      <c r="D1878" s="0">
        <f dt2D="0" dtr="0">HYPERLINK("https://www.icra.in/Rating/RatingDetails?CompanyId=0&amp;CompanyName=Reliance Infratel Limited", "Rationale")</f>
        <v/>
      </c>
    </row>
    <row r="1879">
      <c r="A1879" s="0" t="s">
        <v>4462</v>
      </c>
      <c r="B1879" s="0" t="s">
        <v>4463</v>
      </c>
      <c r="C1879" s="0" t="s">
        <v>50</v>
      </c>
      <c r="D1879" s="0">
        <f dt2D="0" dtr="0">HYPERLINK("https://www.icra.in/Rating/RatingDetails?CompanyId=0&amp;CompanyName=Reliance Telecom Limited", "Rationale")</f>
        <v/>
      </c>
    </row>
    <row r="1880">
      <c r="A1880" s="0" t="s">
        <v>4464</v>
      </c>
      <c r="B1880" s="0" t="s">
        <v>4465</v>
      </c>
      <c r="C1880" s="0" t="s">
        <v>71</v>
      </c>
      <c r="D1880" s="0">
        <f dt2D="0" dtr="0">HYPERLINK("https://www.icra.in/Rating/RatingDetails?CompanyId=0&amp;CompanyName=Remedy Medical Services Pvt. Ltd.", "Rationale")</f>
        <v/>
      </c>
    </row>
    <row r="1881">
      <c r="A1881" s="0" t="s">
        <v>4466</v>
      </c>
      <c r="B1881" s="0" t="s">
        <v>4467</v>
      </c>
      <c r="C1881" s="0" t="s">
        <v>1818</v>
      </c>
      <c r="D1881" s="0">
        <f dt2D="0" dtr="0">HYPERLINK("https://www.icra.in/Rating/RatingDetails?CompanyId=0&amp;CompanyName=Renaissance Buildhome Private Limited", "Rationale")</f>
        <v/>
      </c>
    </row>
    <row r="1882">
      <c r="A1882" s="0" t="s">
        <v>4468</v>
      </c>
      <c r="B1882" s="0" t="s">
        <v>4469</v>
      </c>
      <c r="C1882" s="0" t="s">
        <v>4470</v>
      </c>
      <c r="D1882" s="0">
        <f dt2D="0" dtr="0">HYPERLINK("https://www.icra.in/Rating/RatingDetails?CompanyId=0&amp;CompanyName=Renite Vitrified LLP", "Rationale")</f>
        <v/>
      </c>
    </row>
    <row r="1883">
      <c r="A1883" s="0" t="s">
        <v>4471</v>
      </c>
      <c r="B1883" s="0" t="s">
        <v>4472</v>
      </c>
      <c r="C1883" s="0" t="s">
        <v>211</v>
      </c>
      <c r="D1883" s="0">
        <f dt2D="0" dtr="0">HYPERLINK("https://www.icra.in/Rating/RatingDetails?CompanyId=0&amp;CompanyName=Renjin Construction", "Rationale")</f>
        <v/>
      </c>
    </row>
    <row r="1884">
      <c r="A1884" s="0" t="s">
        <v>4473</v>
      </c>
      <c r="B1884" s="0" t="s">
        <v>4474</v>
      </c>
      <c r="C1884" s="0" t="s">
        <v>4475</v>
      </c>
      <c r="D1884" s="0">
        <f dt2D="0" dtr="0">HYPERLINK("https://www.icra.in/Rating/RatingDetails?CompanyId=0&amp;CompanyName=Renxsol Ecotech Private Limited", "Rationale")</f>
        <v/>
      </c>
    </row>
    <row r="1885">
      <c r="A1885" s="0" t="s">
        <v>4476</v>
      </c>
      <c r="B1885" s="0" t="s">
        <v>4477</v>
      </c>
      <c r="C1885" s="0" t="s">
        <v>679</v>
      </c>
      <c r="D1885" s="0">
        <f dt2D="0" dtr="0">HYPERLINK("https://www.icra.in/Rating/RatingDetails?CompanyId=0&amp;CompanyName=Repute Foods Pvt. Ltd.", "Rationale")</f>
        <v/>
      </c>
    </row>
    <row r="1886">
      <c r="A1886" s="0" t="s">
        <v>4478</v>
      </c>
      <c r="B1886" s="0" t="s">
        <v>4479</v>
      </c>
      <c r="C1886" s="0" t="s">
        <v>665</v>
      </c>
      <c r="D1886" s="0">
        <f dt2D="0" dtr="0">HYPERLINK("https://www.icra.in/Rating/RatingDetails?CompanyId=0&amp;CompanyName=Resolution Enterprises", "Rationale")</f>
        <v/>
      </c>
    </row>
    <row r="1887">
      <c r="A1887" s="0" t="s">
        <v>4480</v>
      </c>
      <c r="B1887" s="0" t="s">
        <v>4481</v>
      </c>
      <c r="C1887" s="0" t="s">
        <v>223</v>
      </c>
      <c r="D1887" s="0">
        <f dt2D="0" dtr="0">HYPERLINK("https://www.icra.in/Rating/RatingDetails?CompanyId=0&amp;CompanyName=Revathi Modern Rice Mill", "Rationale")</f>
        <v/>
      </c>
    </row>
    <row r="1888">
      <c r="A1888" s="0" t="s">
        <v>4482</v>
      </c>
      <c r="B1888" s="0" t="s">
        <v>4483</v>
      </c>
      <c r="C1888" s="0" t="s">
        <v>223</v>
      </c>
      <c r="D1888" s="0">
        <f dt2D="0" dtr="0">HYPERLINK("https://www.icra.in/Rating/RatingDetails?CompanyId=0&amp;CompanyName=Rewa Shiksha Samiti", "Rationale")</f>
        <v/>
      </c>
    </row>
    <row r="1889">
      <c r="A1889" s="0" t="s">
        <v>4484</v>
      </c>
      <c r="B1889" s="0" t="s">
        <v>4485</v>
      </c>
      <c r="C1889" s="0" t="s">
        <v>1877</v>
      </c>
      <c r="D1889" s="0">
        <f dt2D="0" dtr="0">HYPERLINK("https://www.icra.in/Rating/RatingDetails?CompanyId=0&amp;CompanyName=RGTL Industries Limited", "Rationale")</f>
        <v/>
      </c>
    </row>
    <row r="1890">
      <c r="A1890" s="0" t="s">
        <v>4486</v>
      </c>
      <c r="B1890" s="0" t="s">
        <v>4487</v>
      </c>
      <c r="C1890" s="0" t="s">
        <v>734</v>
      </c>
      <c r="D1890" s="0">
        <f dt2D="0" dtr="0">HYPERLINK("https://www.icra.in/Rating/RatingDetails?CompanyId=0&amp;CompanyName=Rheabari Tea Company Private Limited", "Rationale")</f>
        <v/>
      </c>
    </row>
    <row r="1891">
      <c r="A1891" s="0" t="s">
        <v>4488</v>
      </c>
      <c r="B1891" s="0" t="s">
        <v>4489</v>
      </c>
      <c r="C1891" s="0" t="s">
        <v>4490</v>
      </c>
      <c r="D1891" s="0">
        <f dt2D="0" dtr="0">HYPERLINK("https://www.icra.in/Rating/RatingDetails?CompanyId=0&amp;CompanyName=Rich Food Corporation", "Rationale")</f>
        <v/>
      </c>
    </row>
    <row r="1892">
      <c r="A1892" s="0" t="s">
        <v>4491</v>
      </c>
      <c r="B1892" s="0" t="s">
        <v>4492</v>
      </c>
      <c r="C1892" s="0" t="s">
        <v>6</v>
      </c>
      <c r="D1892" s="0">
        <f dt2D="0" dtr="0">HYPERLINK("https://www.icra.in/Rating/RatingDetails?CompanyId=0&amp;CompanyName=Riddhi Agro Industries", "Rationale")</f>
        <v/>
      </c>
    </row>
    <row r="1893">
      <c r="A1893" s="0" t="s">
        <v>4493</v>
      </c>
      <c r="B1893" s="0" t="s">
        <v>4494</v>
      </c>
      <c r="C1893" s="0" t="s">
        <v>2359</v>
      </c>
      <c r="D1893" s="0">
        <f dt2D="0" dtr="0">HYPERLINK("https://www.icra.in/Rating/RatingDetails?CompanyId=0&amp;CompanyName=Riddhi Siddhi Associates", "Rationale")</f>
        <v/>
      </c>
    </row>
    <row r="1894">
      <c r="A1894" s="0" t="s">
        <v>4495</v>
      </c>
      <c r="B1894" s="0" t="s">
        <v>4496</v>
      </c>
      <c r="C1894" s="0" t="s">
        <v>1014</v>
      </c>
      <c r="D1894" s="0">
        <f dt2D="0" dtr="0">HYPERLINK("https://www.icra.in/Rating/RatingDetails?CompanyId=0&amp;CompanyName=Riddhi Siddhi Cotton Ginning &amp; Pressing Pvt. Ltd.", "Rationale")</f>
        <v/>
      </c>
    </row>
    <row r="1895">
      <c r="A1895" s="0" t="s">
        <v>4497</v>
      </c>
      <c r="B1895" s="0" t="s">
        <v>4498</v>
      </c>
      <c r="C1895" s="0" t="s">
        <v>3060</v>
      </c>
      <c r="D1895" s="0">
        <f dt2D="0" dtr="0">HYPERLINK("https://www.icra.in/Rating/RatingDetails?CompanyId=0&amp;CompanyName=Riddhi Siddhi Jewellers Pvt. Ltd.", "Rationale")</f>
        <v/>
      </c>
    </row>
    <row r="1896">
      <c r="A1896" s="0" t="s">
        <v>4499</v>
      </c>
      <c r="B1896" s="0" t="s">
        <v>4500</v>
      </c>
      <c r="C1896" s="0" t="s">
        <v>3941</v>
      </c>
      <c r="D1896" s="0">
        <f dt2D="0" dtr="0">HYPERLINK("https://www.icra.in/Rating/RatingDetails?CompanyId=0&amp;CompanyName=Ridley Life-Science Pvt Ltd", "Rationale")</f>
        <v/>
      </c>
    </row>
    <row r="1897">
      <c r="A1897" s="0" t="s">
        <v>4501</v>
      </c>
      <c r="B1897" s="0" t="s">
        <v>4502</v>
      </c>
      <c r="C1897" s="0" t="s">
        <v>534</v>
      </c>
      <c r="D1897" s="0">
        <f dt2D="0" dtr="0">HYPERLINK("https://www.icra.in/Rating/RatingDetails?CompanyId=0&amp;CompanyName=Rifah Shoes Private Limited", "Rationale")</f>
        <v/>
      </c>
    </row>
    <row r="1898">
      <c r="A1898" s="0" t="s">
        <v>4503</v>
      </c>
      <c r="B1898" s="0" t="s">
        <v>4504</v>
      </c>
      <c r="C1898" s="0" t="s">
        <v>608</v>
      </c>
      <c r="D1898" s="0">
        <f dt2D="0" dtr="0">HYPERLINK("https://www.icra.in/Rating/RatingDetails?CompanyId=0&amp;CompanyName=Righill Electrics Private Limited", "Rationale")</f>
        <v/>
      </c>
    </row>
    <row r="1899">
      <c r="A1899" s="0" t="s">
        <v>4505</v>
      </c>
      <c r="B1899" s="0" t="s">
        <v>4506</v>
      </c>
      <c r="C1899" s="0" t="s">
        <v>71</v>
      </c>
      <c r="D1899" s="0">
        <f dt2D="0" dtr="0">HYPERLINK("https://www.icra.in/Rating/RatingDetails?CompanyId=0&amp;CompanyName=Riona Laminate Pvt. Ltd.", "Rationale")</f>
        <v/>
      </c>
    </row>
    <row r="1900">
      <c r="A1900" s="0" t="s">
        <v>4507</v>
      </c>
      <c r="B1900" s="0" t="s">
        <v>4508</v>
      </c>
      <c r="C1900" s="0" t="s">
        <v>71</v>
      </c>
      <c r="D1900" s="0">
        <f dt2D="0" dtr="0">HYPERLINK("https://www.icra.in/Rating/RatingDetails?CompanyId=0&amp;CompanyName=Rise On Group", "Rationale")</f>
        <v/>
      </c>
    </row>
    <row r="1901">
      <c r="A1901" s="0" t="s">
        <v>4509</v>
      </c>
      <c r="B1901" s="0" t="s">
        <v>4510</v>
      </c>
      <c r="C1901" s="0" t="s">
        <v>71</v>
      </c>
      <c r="D1901" s="0">
        <f dt2D="0" dtr="0">HYPERLINK("https://www.icra.in/Rating/RatingDetails?CompanyId=0&amp;CompanyName=Rishabh Gold Jewels (India) Private Limited", "Rationale")</f>
        <v/>
      </c>
    </row>
    <row r="1902">
      <c r="A1902" s="0" t="s">
        <v>4511</v>
      </c>
      <c r="B1902" s="0" t="s">
        <v>4512</v>
      </c>
      <c r="C1902" s="0" t="s">
        <v>528</v>
      </c>
      <c r="D1902" s="0">
        <f dt2D="0" dtr="0">HYPERLINK("https://www.icra.in/Rating/RatingDetails?CompanyId=0&amp;CompanyName=Rishika Fashions Private Limited", "Rationale")</f>
        <v/>
      </c>
    </row>
    <row r="1903">
      <c r="A1903" s="0" t="s">
        <v>4513</v>
      </c>
      <c r="B1903" s="0" t="s">
        <v>4514</v>
      </c>
      <c r="C1903" s="0" t="s">
        <v>18</v>
      </c>
      <c r="D1903" s="0">
        <f dt2D="0" dtr="0">HYPERLINK("https://www.icra.in/Rating/RatingDetails?CompanyId=0&amp;CompanyName=Rissala Products Private Limited", "Rationale")</f>
        <v/>
      </c>
    </row>
    <row r="1904">
      <c r="A1904" s="0" t="s">
        <v>4515</v>
      </c>
      <c r="B1904" s="0" t="s">
        <v>4516</v>
      </c>
      <c r="C1904" s="0" t="s">
        <v>4517</v>
      </c>
      <c r="D1904" s="0">
        <f dt2D="0" dtr="0">HYPERLINK("https://www.icra.in/Rating/RatingDetails?CompanyId=0&amp;CompanyName=Riyan Paper Mill", "Rationale")</f>
        <v/>
      </c>
    </row>
    <row r="1905">
      <c r="A1905" s="0" t="s">
        <v>4518</v>
      </c>
      <c r="B1905" s="0" t="s">
        <v>4519</v>
      </c>
      <c r="C1905" s="0" t="s">
        <v>71</v>
      </c>
      <c r="D1905" s="0">
        <f dt2D="0" dtr="0">HYPERLINK("https://www.icra.in/Rating/RatingDetails?CompanyId=0&amp;CompanyName=RKD Infrastructure Private Limited", "Rationale")</f>
        <v/>
      </c>
    </row>
    <row r="1906">
      <c r="A1906" s="0" t="s">
        <v>4520</v>
      </c>
      <c r="B1906" s="0" t="s">
        <v>4521</v>
      </c>
      <c r="C1906" s="0" t="s">
        <v>4522</v>
      </c>
      <c r="D1906" s="0">
        <f dt2D="0" dtr="0">HYPERLINK("https://www.icra.in/Rating/RatingDetails?CompanyId=0&amp;CompanyName=RKG International Private Limited", "Rationale")</f>
        <v/>
      </c>
    </row>
    <row r="1907">
      <c r="A1907" s="0" t="s">
        <v>4523</v>
      </c>
      <c r="B1907" s="0" t="s">
        <v>4524</v>
      </c>
      <c r="C1907" s="0" t="s">
        <v>4525</v>
      </c>
      <c r="D1907" s="0">
        <f dt2D="0" dtr="0">HYPERLINK("https://www.icra.in/Rating/RatingDetails?CompanyId=0&amp;CompanyName=RLJ Concast Private Limited", "Rationale")</f>
        <v/>
      </c>
    </row>
    <row r="1908">
      <c r="A1908" s="0" t="s">
        <v>4526</v>
      </c>
      <c r="B1908" s="0" t="s">
        <v>4527</v>
      </c>
      <c r="C1908" s="0" t="s">
        <v>3060</v>
      </c>
      <c r="D1908" s="0">
        <f dt2D="0" dtr="0">HYPERLINK("https://www.icra.in/Rating/RatingDetails?CompanyId=0&amp;CompanyName=RLJ Multigrain Private Limited", "Rationale")</f>
        <v/>
      </c>
    </row>
    <row r="1909">
      <c r="A1909" s="0" t="s">
        <v>4528</v>
      </c>
      <c r="B1909" s="0" t="s">
        <v>4529</v>
      </c>
      <c r="C1909" s="0" t="s">
        <v>4530</v>
      </c>
      <c r="D1909" s="0">
        <f dt2D="0" dtr="0">HYPERLINK("https://www.icra.in/Rating/RatingDetails?CompanyId=0&amp;CompanyName=RLJ Woven Sacks Private Limited", "Rationale")</f>
        <v/>
      </c>
    </row>
    <row r="1910">
      <c r="A1910" s="0" t="s">
        <v>4531</v>
      </c>
      <c r="B1910" s="0" t="s">
        <v>4532</v>
      </c>
      <c r="C1910" s="0" t="s">
        <v>1062</v>
      </c>
      <c r="D1910" s="0">
        <f dt2D="0" dtr="0">HYPERLINK("https://www.icra.in/Rating/RatingDetails?CompanyId=0&amp;CompanyName=Rmp Farms", "Rationale")</f>
        <v/>
      </c>
    </row>
    <row r="1911">
      <c r="A1911" s="0" t="s">
        <v>4533</v>
      </c>
      <c r="B1911" s="0" t="s">
        <v>4534</v>
      </c>
      <c r="C1911" s="0" t="s">
        <v>1908</v>
      </c>
      <c r="D1911" s="0">
        <f dt2D="0" dtr="0">HYPERLINK("https://www.icra.in/Rating/RatingDetails?CompanyId=0&amp;CompanyName=RNB International Private Limited", "Rationale")</f>
        <v/>
      </c>
    </row>
    <row r="1912">
      <c r="A1912" s="0" t="s">
        <v>4535</v>
      </c>
      <c r="B1912" s="0" t="s">
        <v>4536</v>
      </c>
      <c r="C1912" s="0" t="s">
        <v>71</v>
      </c>
      <c r="D1912" s="0">
        <f dt2D="0" dtr="0">HYPERLINK("https://www.icra.in/Rating/RatingDetails?CompanyId=0&amp;CompanyName=RNP Scaffolding &amp; Formwork Private Limited", "Rationale")</f>
        <v/>
      </c>
    </row>
    <row r="1913">
      <c r="A1913" s="0" t="s">
        <v>4537</v>
      </c>
      <c r="B1913" s="0" t="s">
        <v>4538</v>
      </c>
      <c r="C1913" s="0" t="s">
        <v>855</v>
      </c>
      <c r="D1913" s="0">
        <f dt2D="0" dtr="0">HYPERLINK("https://www.icra.in/Rating/RatingDetails?CompanyId=0&amp;CompanyName=Robo Equipments and Forgings Private Limited", "Rationale")</f>
        <v/>
      </c>
    </row>
    <row r="1914">
      <c r="A1914" s="0" t="s">
        <v>4539</v>
      </c>
      <c r="B1914" s="0" t="s">
        <v>4540</v>
      </c>
      <c r="C1914" s="0" t="s">
        <v>256</v>
      </c>
      <c r="D1914" s="0">
        <f dt2D="0" dtr="0">HYPERLINK("https://www.icra.in/Rating/RatingDetails?CompanyId=0&amp;CompanyName=Rockland Ceramic Llp", "Rationale")</f>
        <v/>
      </c>
    </row>
    <row r="1915">
      <c r="A1915" s="0" t="s">
        <v>4541</v>
      </c>
      <c r="B1915" s="0" t="s">
        <v>4542</v>
      </c>
      <c r="C1915" s="0" t="s">
        <v>4249</v>
      </c>
      <c r="D1915" s="0">
        <f dt2D="0" dtr="0">HYPERLINK("https://www.icra.in/Rating/RatingDetails?CompanyId=0&amp;CompanyName=Rocky Dhar", "Rationale")</f>
        <v/>
      </c>
    </row>
    <row r="1916">
      <c r="A1916" s="0" t="s">
        <v>4543</v>
      </c>
      <c r="B1916" s="0" t="s">
        <v>4544</v>
      </c>
      <c r="C1916" s="0" t="s">
        <v>492</v>
      </c>
      <c r="D1916" s="0">
        <f dt2D="0" dtr="0">HYPERLINK("https://www.icra.in/Rating/RatingDetails?CompanyId=0&amp;CompanyName=Rohit Fabtex", "Rationale")</f>
        <v/>
      </c>
    </row>
    <row r="1917">
      <c r="A1917" s="0" t="s">
        <v>4545</v>
      </c>
      <c r="B1917" s="0" t="s">
        <v>4546</v>
      </c>
      <c r="C1917" s="0" t="s">
        <v>1695</v>
      </c>
      <c r="D1917" s="0">
        <f dt2D="0" dtr="0">HYPERLINK("https://www.icra.in/Rating/RatingDetails?CompanyId=0&amp;CompanyName=Rolex Hosiery Private Limited", "Rationale")</f>
        <v/>
      </c>
    </row>
    <row r="1918">
      <c r="A1918" s="0" t="s">
        <v>4547</v>
      </c>
      <c r="B1918" s="0" t="s">
        <v>4548</v>
      </c>
      <c r="C1918" s="0" t="s">
        <v>1355</v>
      </c>
      <c r="D1918" s="0">
        <f dt2D="0" dtr="0">HYPERLINK("https://www.icra.in/Rating/RatingDetails?CompanyId=0&amp;CompanyName=Ronald Colaco", "Rationale")</f>
        <v/>
      </c>
    </row>
    <row r="1919">
      <c r="A1919" s="0" t="s">
        <v>4549</v>
      </c>
      <c r="B1919" s="0" t="s">
        <v>4550</v>
      </c>
      <c r="C1919" s="0" t="s">
        <v>4113</v>
      </c>
      <c r="D1919" s="0">
        <f dt2D="0" dtr="0">HYPERLINK("https://www.icra.in/Rating/RatingDetails?CompanyId=0&amp;CompanyName=Roop Technology Private Limited", "Rationale")</f>
        <v/>
      </c>
    </row>
    <row r="1920">
      <c r="A1920" s="0" t="s">
        <v>4551</v>
      </c>
      <c r="B1920" s="0" t="s">
        <v>4552</v>
      </c>
      <c r="C1920" s="0" t="s">
        <v>183</v>
      </c>
      <c r="D1920" s="0">
        <f dt2D="0" dtr="0">HYPERLINK("https://www.icra.in/Rating/RatingDetails?CompanyId=0&amp;CompanyName=Rooplaxmi Industries India Private Limited", "Rationale")</f>
        <v/>
      </c>
    </row>
    <row r="1921">
      <c r="A1921" s="0" t="s">
        <v>4553</v>
      </c>
      <c r="B1921" s="0" t="s">
        <v>4554</v>
      </c>
      <c r="C1921" s="0" t="s">
        <v>4555</v>
      </c>
      <c r="D1921" s="0">
        <f dt2D="0" dtr="0">HYPERLINK("https://www.icra.in/Rating/RatingDetails?CompanyId=0&amp;CompanyName=Rosha Alloys Private Limited", "Rationale")</f>
        <v/>
      </c>
    </row>
    <row r="1922">
      <c r="A1922" s="0" t="s">
        <v>4556</v>
      </c>
      <c r="B1922" s="0" t="s">
        <v>4557</v>
      </c>
      <c r="C1922" s="0" t="s">
        <v>1158</v>
      </c>
      <c r="D1922" s="0">
        <f dt2D="0" dtr="0">HYPERLINK("https://www.icra.in/Rating/RatingDetails?CompanyId=0&amp;CompanyName=Roshan Real Estates Private Limited", "Rationale")</f>
        <v/>
      </c>
    </row>
    <row r="1923">
      <c r="A1923" s="0" t="s">
        <v>4558</v>
      </c>
      <c r="B1923" s="0" t="s">
        <v>4559</v>
      </c>
      <c r="C1923" s="0" t="s">
        <v>816</v>
      </c>
      <c r="D1923" s="0">
        <f dt2D="0" dtr="0">HYPERLINK("https://www.icra.in/Rating/RatingDetails?CompanyId=0&amp;CompanyName=Royal Castor Products Limited", "Rationale")</f>
        <v/>
      </c>
    </row>
    <row r="1924">
      <c r="A1924" s="0" t="s">
        <v>4560</v>
      </c>
      <c r="B1924" s="0" t="s">
        <v>4561</v>
      </c>
      <c r="C1924" s="0" t="s">
        <v>27</v>
      </c>
      <c r="D1924" s="0">
        <f dt2D="0" dtr="0">HYPERLINK("https://www.icra.in/Rating/RatingDetails?CompanyId=0&amp;CompanyName=Royal Motors Gwalior Private Limited", "Rationale")</f>
        <v/>
      </c>
    </row>
    <row r="1925">
      <c r="A1925" s="0" t="s">
        <v>4562</v>
      </c>
      <c r="B1925" s="0" t="s">
        <v>4563</v>
      </c>
      <c r="C1925" s="0" t="s">
        <v>18</v>
      </c>
      <c r="D1925" s="0">
        <f dt2D="0" dtr="0">HYPERLINK("https://www.icra.in/Rating/RatingDetails?CompanyId=0&amp;CompanyName=Royal Power Turnkey Implements Private Limited", "Rationale")</f>
        <v/>
      </c>
    </row>
    <row r="1926">
      <c r="A1926" s="0" t="s">
        <v>4564</v>
      </c>
      <c r="B1926" s="0" t="s">
        <v>4565</v>
      </c>
      <c r="C1926" s="0" t="s">
        <v>71</v>
      </c>
      <c r="D1926" s="0">
        <f dt2D="0" dtr="0">HYPERLINK("https://www.icra.in/Rating/RatingDetails?CompanyId=0&amp;CompanyName=Royalica Tiles", "Rationale")</f>
        <v/>
      </c>
    </row>
    <row r="1927">
      <c r="A1927" s="0" t="s">
        <v>4566</v>
      </c>
      <c r="B1927" s="0" t="s">
        <v>4567</v>
      </c>
      <c r="C1927" s="0" t="s">
        <v>4568</v>
      </c>
      <c r="D1927" s="0">
        <f dt2D="0" dtr="0">HYPERLINK("https://www.icra.in/Rating/RatingDetails?CompanyId=0&amp;CompanyName=Royals Marine Food Pvt Ltd", "Rationale")</f>
        <v/>
      </c>
    </row>
    <row r="1928">
      <c r="A1928" s="0" t="s">
        <v>4569</v>
      </c>
      <c r="B1928" s="0" t="s">
        <v>4570</v>
      </c>
      <c r="C1928" s="0" t="s">
        <v>6</v>
      </c>
      <c r="D1928" s="0">
        <f dt2D="0" dtr="0">HYPERLINK("https://www.icra.in/Rating/RatingDetails?CompanyId=0&amp;CompanyName=Rpl Projects Limited", "Rationale")</f>
        <v/>
      </c>
    </row>
    <row r="1929">
      <c r="A1929" s="0" t="s">
        <v>4571</v>
      </c>
      <c r="B1929" s="0" t="s">
        <v>4572</v>
      </c>
      <c r="C1929" s="0" t="s">
        <v>4573</v>
      </c>
      <c r="D1929" s="0">
        <f dt2D="0" dtr="0">HYPERLINK("https://www.icra.in/Rating/RatingDetails?CompanyId=0&amp;CompanyName=Rsal Steel Private Limited", "Rationale")</f>
        <v/>
      </c>
    </row>
    <row r="1930">
      <c r="A1930" s="0" t="s">
        <v>4574</v>
      </c>
      <c r="B1930" s="0" t="s">
        <v>4575</v>
      </c>
      <c r="C1930" s="0" t="s">
        <v>165</v>
      </c>
      <c r="D1930" s="0">
        <f dt2D="0" dtr="0">HYPERLINK("https://www.icra.in/Rating/RatingDetails?CompanyId=0&amp;CompanyName=RSG Developers Private Limited", "Rationale")</f>
        <v/>
      </c>
    </row>
    <row r="1931">
      <c r="A1931" s="0" t="s">
        <v>4576</v>
      </c>
      <c r="B1931" s="0" t="s">
        <v>4577</v>
      </c>
      <c r="C1931" s="0" t="s">
        <v>71</v>
      </c>
      <c r="D1931" s="0">
        <f dt2D="0" dtr="0">HYPERLINK("https://www.icra.in/Rating/RatingDetails?CompanyId=0&amp;CompanyName=RSV Hospital Private Limited", "Rationale")</f>
        <v/>
      </c>
    </row>
    <row r="1932">
      <c r="A1932" s="0" t="s">
        <v>4578</v>
      </c>
      <c r="B1932" s="0" t="s">
        <v>4579</v>
      </c>
      <c r="C1932" s="0" t="s">
        <v>715</v>
      </c>
      <c r="D1932" s="0">
        <f dt2D="0" dtr="0">HYPERLINK("https://www.icra.in/Rating/RatingDetails?CompanyId=0&amp;CompanyName=Ruchi Global Limited", "Rationale")</f>
        <v/>
      </c>
    </row>
    <row r="1933">
      <c r="A1933" s="0" t="s">
        <v>4580</v>
      </c>
      <c r="B1933" s="0" t="s">
        <v>4581</v>
      </c>
      <c r="C1933" s="0" t="s">
        <v>298</v>
      </c>
      <c r="D1933" s="0">
        <f dt2D="0" dtr="0">HYPERLINK("https://www.icra.in/Rating/RatingDetails?CompanyId=0&amp;CompanyName=Rungta Projects Limited", "Rationale")</f>
        <v/>
      </c>
    </row>
    <row r="1934">
      <c r="A1934" s="0" t="s">
        <v>4582</v>
      </c>
      <c r="B1934" s="0" t="s">
        <v>4583</v>
      </c>
      <c r="C1934" s="0" t="s">
        <v>265</v>
      </c>
      <c r="D1934" s="0">
        <f dt2D="0" dtr="0">HYPERLINK("https://www.icra.in/Rating/RatingDetails?CompanyId=0&amp;CompanyName=S A Iron &amp; Alloys Private Limited", "Rationale")</f>
        <v/>
      </c>
    </row>
    <row r="1935">
      <c r="A1935" s="0" t="s">
        <v>4584</v>
      </c>
      <c r="B1935" s="0" t="s">
        <v>4585</v>
      </c>
      <c r="C1935" s="0" t="s">
        <v>662</v>
      </c>
      <c r="D1935" s="0">
        <f dt2D="0" dtr="0">HYPERLINK("https://www.icra.in/Rating/RatingDetails?CompanyId=0&amp;CompanyName=S D Rice Mills", "Rationale")</f>
        <v/>
      </c>
    </row>
    <row r="1936">
      <c r="A1936" s="0" t="s">
        <v>4586</v>
      </c>
      <c r="B1936" s="0" t="s">
        <v>4587</v>
      </c>
      <c r="C1936" s="0" t="s">
        <v>1067</v>
      </c>
      <c r="D1936" s="0">
        <f dt2D="0" dtr="0">HYPERLINK("https://www.icra.in/Rating/RatingDetails?CompanyId=0&amp;CompanyName=S M Steels", "Rationale")</f>
        <v/>
      </c>
    </row>
    <row r="1937">
      <c r="A1937" s="0" t="s">
        <v>4588</v>
      </c>
      <c r="B1937" s="0" t="s">
        <v>4589</v>
      </c>
      <c r="C1937" s="0" t="s">
        <v>4590</v>
      </c>
      <c r="D1937" s="0">
        <f dt2D="0" dtr="0">HYPERLINK("https://www.icra.in/Rating/RatingDetails?CompanyId=0&amp;CompanyName=S R Tranzcars Private Limited", "Rationale")</f>
        <v/>
      </c>
    </row>
    <row r="1938">
      <c r="A1938" s="0" t="s">
        <v>4591</v>
      </c>
      <c r="B1938" s="0" t="s">
        <v>4592</v>
      </c>
      <c r="C1938" s="0" t="s">
        <v>4593</v>
      </c>
      <c r="D1938" s="0">
        <f dt2D="0" dtr="0">HYPERLINK("https://www.icra.in/Rating/RatingDetails?CompanyId=0&amp;CompanyName=S S Super Foods Private Limited", "Rationale")</f>
        <v/>
      </c>
    </row>
    <row r="1939">
      <c r="A1939" s="0" t="s">
        <v>4594</v>
      </c>
      <c r="B1939" s="0" t="s">
        <v>4595</v>
      </c>
      <c r="C1939" s="0" t="s">
        <v>168</v>
      </c>
      <c r="D1939" s="0">
        <f dt2D="0" dtr="0">HYPERLINK("https://www.icra.in/Rating/RatingDetails?CompanyId=0&amp;CompanyName=S&amp;IB Services Private Limited", "Rationale")</f>
        <v/>
      </c>
    </row>
    <row r="1940">
      <c r="A1940" s="0" t="s">
        <v>4596</v>
      </c>
      <c r="B1940" s="0" t="s">
        <v>4597</v>
      </c>
      <c r="C1940" s="0" t="s">
        <v>346</v>
      </c>
      <c r="D1940" s="0">
        <f dt2D="0" dtr="0">HYPERLINK("https://www.icra.in/Rating/RatingDetails?CompanyId=0&amp;CompanyName=S&amp;P Infrastructure Developers Private Limited", "Rationale")</f>
        <v/>
      </c>
    </row>
    <row r="1941">
      <c r="A1941" s="0" t="s">
        <v>4598</v>
      </c>
      <c r="B1941" s="0" t="s">
        <v>4599</v>
      </c>
      <c r="C1941" s="0" t="s">
        <v>929</v>
      </c>
      <c r="D1941" s="0">
        <f dt2D="0" dtr="0">HYPERLINK("https://www.icra.in/Rating/RatingDetails?CompanyId=0&amp;CompanyName=S. K. Exports (Lower Parel)", "Rationale")</f>
        <v/>
      </c>
    </row>
    <row r="1942">
      <c r="A1942" s="0" t="s">
        <v>4600</v>
      </c>
      <c r="B1942" s="0" t="s">
        <v>4601</v>
      </c>
      <c r="C1942" s="0" t="s">
        <v>4602</v>
      </c>
      <c r="D1942" s="0">
        <f dt2D="0" dtr="0">HYPERLINK("https://www.icra.in/Rating/RatingDetails?CompanyId=0&amp;CompanyName=S. K. S. Educational and Social Trust", "Rationale")</f>
        <v/>
      </c>
    </row>
    <row r="1943">
      <c r="A1943" s="0" t="s">
        <v>4603</v>
      </c>
      <c r="B1943" s="0" t="s">
        <v>4604</v>
      </c>
      <c r="C1943" s="0" t="s">
        <v>430</v>
      </c>
      <c r="D1943" s="0">
        <f dt2D="0" dtr="0">HYPERLINK("https://www.icra.in/Rating/RatingDetails?CompanyId=0&amp;CompanyName=S. Nanda Industries Pvt. Ltd.", "Rationale")</f>
        <v/>
      </c>
    </row>
    <row r="1944">
      <c r="A1944" s="0" t="s">
        <v>4605</v>
      </c>
      <c r="B1944" s="0" t="s">
        <v>4606</v>
      </c>
      <c r="C1944" s="0" t="s">
        <v>1305</v>
      </c>
      <c r="D1944" s="0">
        <f dt2D="0" dtr="0">HYPERLINK("https://www.icra.in/Rating/RatingDetails?CompanyId=0&amp;CompanyName=S. Narayana Reddy", "Rationale")</f>
        <v/>
      </c>
    </row>
    <row r="1945">
      <c r="A1945" s="0" t="s">
        <v>4607</v>
      </c>
      <c r="B1945" s="0" t="s">
        <v>4608</v>
      </c>
      <c r="C1945" s="0" t="s">
        <v>492</v>
      </c>
      <c r="D1945" s="0">
        <f dt2D="0" dtr="0">HYPERLINK("https://www.icra.in/Rating/RatingDetails?CompanyId=0&amp;CompanyName=S. P. Jaiswal Estates Private Limited", "Rationale")</f>
        <v/>
      </c>
    </row>
    <row r="1946">
      <c r="A1946" s="0" t="s">
        <v>4609</v>
      </c>
      <c r="B1946" s="0" t="s">
        <v>4610</v>
      </c>
      <c r="C1946" s="0" t="s">
        <v>588</v>
      </c>
      <c r="D1946" s="0">
        <f dt2D="0" dtr="0">HYPERLINK("https://www.icra.in/Rating/RatingDetails?CompanyId=0&amp;CompanyName=S.A.M Apparels Pvt. Limited", "Rationale")</f>
        <v/>
      </c>
    </row>
    <row r="1947">
      <c r="A1947" s="0" t="s">
        <v>4611</v>
      </c>
      <c r="B1947" s="0" t="s">
        <v>4612</v>
      </c>
      <c r="C1947" s="0" t="s">
        <v>492</v>
      </c>
      <c r="D1947" s="0">
        <f dt2D="0" dtr="0">HYPERLINK("https://www.icra.in/Rating/RatingDetails?CompanyId=0&amp;CompanyName=S.B. Cars Private Limited", "Rationale")</f>
        <v/>
      </c>
    </row>
    <row r="1948">
      <c r="A1948" s="0" t="s">
        <v>4613</v>
      </c>
      <c r="B1948" s="0" t="s">
        <v>4614</v>
      </c>
      <c r="C1948" s="0" t="s">
        <v>1302</v>
      </c>
      <c r="D1948" s="0">
        <f dt2D="0" dtr="0">HYPERLINK("https://www.icra.in/Rating/RatingDetails?CompanyId=0&amp;CompanyName=S.D. Education Trust", "Rationale")</f>
        <v/>
      </c>
    </row>
    <row r="1949">
      <c r="A1949" s="0" t="s">
        <v>4615</v>
      </c>
      <c r="B1949" s="0" t="s">
        <v>4616</v>
      </c>
      <c r="C1949" s="0" t="s">
        <v>343</v>
      </c>
      <c r="D1949" s="0">
        <f dt2D="0" dtr="0">HYPERLINK("https://www.icra.in/Rating/RatingDetails?CompanyId=0&amp;CompanyName=S.K Foods", "Rationale")</f>
        <v/>
      </c>
    </row>
    <row r="1950">
      <c r="A1950" s="0" t="s">
        <v>4617</v>
      </c>
      <c r="B1950" s="0" t="s">
        <v>4618</v>
      </c>
      <c r="C1950" s="0" t="s">
        <v>293</v>
      </c>
      <c r="D1950" s="0">
        <f dt2D="0" dtr="0">HYPERLINK("https://www.icra.in/Rating/RatingDetails?CompanyId=0&amp;CompanyName=S.K. Agros", "Rationale")</f>
        <v/>
      </c>
    </row>
    <row r="1951">
      <c r="A1951" s="0" t="s">
        <v>4619</v>
      </c>
      <c r="B1951" s="0" t="s">
        <v>4620</v>
      </c>
      <c r="C1951" s="0" t="s">
        <v>4621</v>
      </c>
      <c r="D1951" s="0">
        <f dt2D="0" dtr="0">HYPERLINK("https://www.icra.in/Rating/RatingDetails?CompanyId=0&amp;CompanyName=S.K. Exports", "Rationale")</f>
        <v/>
      </c>
    </row>
    <row r="1952">
      <c r="A1952" s="0" t="s">
        <v>4622</v>
      </c>
      <c r="B1952" s="0" t="s">
        <v>4623</v>
      </c>
      <c r="C1952" s="0" t="s">
        <v>460</v>
      </c>
      <c r="D1952" s="0">
        <f dt2D="0" dtr="0">HYPERLINK("https://www.icra.in/Rating/RatingDetails?CompanyId=0&amp;CompanyName=S.K.Cotton Industries", "Rationale")</f>
        <v/>
      </c>
    </row>
    <row r="1953">
      <c r="A1953" s="0" t="s">
        <v>4624</v>
      </c>
      <c r="B1953" s="0" t="s">
        <v>4625</v>
      </c>
      <c r="C1953" s="0" t="s">
        <v>1412</v>
      </c>
      <c r="D1953" s="0">
        <f dt2D="0" dtr="0">HYPERLINK("https://www.icra.in/Rating/RatingDetails?CompanyId=0&amp;CompanyName=S.K.R. Constructions", "Rationale")</f>
        <v/>
      </c>
    </row>
    <row r="1954">
      <c r="A1954" s="0" t="s">
        <v>4626</v>
      </c>
      <c r="B1954" s="0" t="s">
        <v>4627</v>
      </c>
      <c r="C1954" s="0" t="s">
        <v>2777</v>
      </c>
      <c r="D1954" s="0">
        <f dt2D="0" dtr="0">HYPERLINK("https://www.icra.in/Rating/RatingDetails?CompanyId=0&amp;CompanyName=S.K.T.Textile Mills", "Rationale")</f>
        <v/>
      </c>
    </row>
    <row r="1955">
      <c r="A1955" s="0" t="s">
        <v>4628</v>
      </c>
      <c r="B1955" s="0" t="s">
        <v>4629</v>
      </c>
      <c r="C1955" s="0" t="s">
        <v>439</v>
      </c>
      <c r="D1955" s="0">
        <f dt2D="0" dtr="0">HYPERLINK("https://www.icra.in/Rating/RatingDetails?CompanyId=0&amp;CompanyName=S.M. Engineers", "Rationale")</f>
        <v/>
      </c>
    </row>
    <row r="1956">
      <c r="A1956" s="0" t="s">
        <v>4630</v>
      </c>
      <c r="B1956" s="0" t="s">
        <v>4631</v>
      </c>
      <c r="C1956" s="0" t="s">
        <v>4632</v>
      </c>
      <c r="D1956" s="0">
        <f dt2D="0" dtr="0">HYPERLINK("https://www.icra.in/Rating/RatingDetails?CompanyId=0&amp;CompanyName=S.N.N Tulasi Narayana Spinners Private Limited", "Rationale")</f>
        <v/>
      </c>
    </row>
    <row r="1957">
      <c r="A1957" s="0" t="s">
        <v>4633</v>
      </c>
      <c r="B1957" s="0" t="s">
        <v>4634</v>
      </c>
      <c r="C1957" s="0" t="s">
        <v>4602</v>
      </c>
      <c r="D1957" s="0">
        <f dt2D="0" dtr="0">HYPERLINK("https://www.icra.in/Rating/RatingDetails?CompanyId=0&amp;CompanyName=S.N.N. Textiles Private Limited", "Rationale")</f>
        <v/>
      </c>
    </row>
    <row r="1958">
      <c r="A1958" s="0" t="s">
        <v>4635</v>
      </c>
      <c r="B1958" s="0" t="s">
        <v>4636</v>
      </c>
      <c r="C1958" s="0" t="s">
        <v>555</v>
      </c>
      <c r="D1958" s="0">
        <f dt2D="0" dtr="0">HYPERLINK("https://www.icra.in/Rating/RatingDetails?CompanyId=0&amp;CompanyName=S.P. Sortex Rice Exports India Ltd", "Rationale")</f>
        <v/>
      </c>
    </row>
    <row r="1959">
      <c r="A1959" s="0" t="s">
        <v>4637</v>
      </c>
      <c r="B1959" s="0" t="s">
        <v>4638</v>
      </c>
      <c r="C1959" s="0" t="s">
        <v>1651</v>
      </c>
      <c r="D1959" s="0">
        <f dt2D="0" dtr="0">HYPERLINK("https://www.icra.in/Rating/RatingDetails?CompanyId=0&amp;CompanyName=S.P.R.L Foods Limited", "Rationale")</f>
        <v/>
      </c>
    </row>
    <row r="1960">
      <c r="A1960" s="0" t="s">
        <v>4639</v>
      </c>
      <c r="B1960" s="0" t="s">
        <v>4640</v>
      </c>
      <c r="C1960" s="0" t="s">
        <v>2869</v>
      </c>
      <c r="D1960" s="0">
        <f dt2D="0" dtr="0">HYPERLINK("https://www.icra.in/Rating/RatingDetails?CompanyId=0&amp;CompanyName=S.R. Polyvinyl Limited", "Rationale")</f>
        <v/>
      </c>
    </row>
    <row r="1961">
      <c r="A1961" s="0" t="s">
        <v>4641</v>
      </c>
      <c r="B1961" s="0" t="s">
        <v>4642</v>
      </c>
      <c r="C1961" s="0" t="s">
        <v>338</v>
      </c>
      <c r="D1961" s="0">
        <f dt2D="0" dtr="0">HYPERLINK("https://www.icra.in/Rating/RatingDetails?CompanyId=0&amp;CompanyName=S.S. Construction", "Rationale")</f>
        <v/>
      </c>
    </row>
    <row r="1962">
      <c r="A1962" s="0" t="s">
        <v>4643</v>
      </c>
      <c r="B1962" s="0" t="s">
        <v>4644</v>
      </c>
      <c r="C1962" s="0" t="s">
        <v>92</v>
      </c>
      <c r="D1962" s="0">
        <f dt2D="0" dtr="0">HYPERLINK("https://www.icra.in/Rating/RatingDetails?CompanyId=0&amp;CompanyName=S.S. Cotton Industries Private Limited", "Rationale")</f>
        <v/>
      </c>
    </row>
    <row r="1963">
      <c r="A1963" s="0" t="s">
        <v>4645</v>
      </c>
      <c r="B1963" s="0" t="s">
        <v>4646</v>
      </c>
      <c r="C1963" s="0" t="s">
        <v>2525</v>
      </c>
      <c r="D1963" s="0">
        <f dt2D="0" dtr="0">HYPERLINK("https://www.icra.in/Rating/RatingDetails?CompanyId=0&amp;CompanyName=S.S. Enterprises Electricals", "Rationale")</f>
        <v/>
      </c>
    </row>
    <row r="1964">
      <c r="A1964" s="0" t="s">
        <v>4647</v>
      </c>
      <c r="B1964" s="0" t="s">
        <v>4648</v>
      </c>
      <c r="C1964" s="0" t="s">
        <v>71</v>
      </c>
      <c r="D1964" s="0">
        <f dt2D="0" dtr="0">HYPERLINK("https://www.icra.in/Rating/RatingDetails?CompanyId=0&amp;CompanyName=S.S. Timber Traders", "Rationale")</f>
        <v/>
      </c>
    </row>
    <row r="1965">
      <c r="A1965" s="0" t="s">
        <v>4649</v>
      </c>
      <c r="B1965" s="0" t="s">
        <v>4650</v>
      </c>
      <c r="C1965" s="0" t="s">
        <v>558</v>
      </c>
      <c r="D1965" s="0">
        <f dt2D="0" dtr="0">HYPERLINK("https://www.icra.in/Rating/RatingDetails?CompanyId=0&amp;CompanyName=S.T. Woollen Mills Pvt Ltd", "Rationale")</f>
        <v/>
      </c>
    </row>
    <row r="1966">
      <c r="A1966" s="0" t="s">
        <v>4651</v>
      </c>
      <c r="B1966" s="0" t="s">
        <v>4652</v>
      </c>
      <c r="C1966" s="0" t="s">
        <v>4653</v>
      </c>
      <c r="D1966" s="0">
        <f dt2D="0" dtr="0">HYPERLINK("https://www.icra.in/Rating/RatingDetails?CompanyId=0&amp;CompanyName=S.V. Patel &amp; Sons", "Rationale")</f>
        <v/>
      </c>
    </row>
    <row r="1967">
      <c r="A1967" s="0" t="s">
        <v>4654</v>
      </c>
      <c r="B1967" s="0" t="s">
        <v>4655</v>
      </c>
      <c r="C1967" s="0" t="s">
        <v>4656</v>
      </c>
      <c r="D1967" s="0">
        <f dt2D="0" dtr="0">HYPERLINK("https://www.icra.in/Rating/RatingDetails?CompanyId=0&amp;CompanyName=S.V.S Classic Foods", "Rationale")</f>
        <v/>
      </c>
    </row>
    <row r="1968">
      <c r="A1968" s="0" t="s">
        <v>4657</v>
      </c>
      <c r="B1968" s="0" t="s">
        <v>4658</v>
      </c>
      <c r="C1968" s="0" t="s">
        <v>958</v>
      </c>
      <c r="D1968" s="0">
        <f dt2D="0" dtr="0">HYPERLINK("https://www.icra.in/Rating/RatingDetails?CompanyId=0&amp;CompanyName=Saanj Aur Savera Educational and Welfare Trust", "Rationale")</f>
        <v/>
      </c>
    </row>
    <row r="1969">
      <c r="A1969" s="0" t="s">
        <v>4659</v>
      </c>
      <c r="B1969" s="0" t="s">
        <v>4660</v>
      </c>
      <c r="C1969" s="0" t="s">
        <v>882</v>
      </c>
      <c r="D1969" s="0">
        <f dt2D="0" dtr="0">HYPERLINK("https://www.icra.in/Rating/RatingDetails?CompanyId=0&amp;CompanyName=Saanvi Clothing Pvt Ltd", "Rationale")</f>
        <v/>
      </c>
    </row>
    <row r="1970">
      <c r="A1970" s="0" t="s">
        <v>4661</v>
      </c>
      <c r="B1970" s="0" t="s">
        <v>4662</v>
      </c>
      <c r="C1970" s="0" t="s">
        <v>71</v>
      </c>
      <c r="D1970" s="0">
        <f dt2D="0" dtr="0">HYPERLINK("https://www.icra.in/Rating/RatingDetails?CompanyId=0&amp;CompanyName=Sabari Krishna Enterprise", "Rationale")</f>
        <v/>
      </c>
    </row>
    <row r="1971">
      <c r="A1971" s="0" t="s">
        <v>4663</v>
      </c>
      <c r="B1971" s="0" t="s">
        <v>4664</v>
      </c>
      <c r="C1971" s="0" t="s">
        <v>4656</v>
      </c>
      <c r="D1971" s="0">
        <f dt2D="0" dtr="0">HYPERLINK("https://www.icra.in/Rating/RatingDetails?CompanyId=0&amp;CompanyName=Sabari Textiles Private Limited", "Rationale")</f>
        <v/>
      </c>
    </row>
    <row r="1972">
      <c r="A1972" s="0" t="s">
        <v>4665</v>
      </c>
      <c r="B1972" s="0" t="s">
        <v>4666</v>
      </c>
      <c r="C1972" s="0" t="s">
        <v>4667</v>
      </c>
      <c r="D1972" s="0">
        <f dt2D="0" dtr="0">HYPERLINK("https://www.icra.in/Rating/RatingDetails?CompanyId=0&amp;CompanyName=Sacheta Metals Limited", "Rationale")</f>
        <v/>
      </c>
    </row>
    <row r="1973">
      <c r="A1973" s="0" t="s">
        <v>4668</v>
      </c>
      <c r="B1973" s="0" t="s">
        <v>4669</v>
      </c>
      <c r="C1973" s="0" t="s">
        <v>183</v>
      </c>
      <c r="D1973" s="0">
        <f dt2D="0" dtr="0">HYPERLINK("https://www.icra.in/Rating/RatingDetails?CompanyId=0&amp;CompanyName=Sadguru Medical &amp; Research Center Pvt Ltd.", "Rationale")</f>
        <v/>
      </c>
    </row>
    <row r="1974">
      <c r="A1974" s="0" t="s">
        <v>4670</v>
      </c>
      <c r="B1974" s="0" t="s">
        <v>4671</v>
      </c>
      <c r="C1974" s="0" t="s">
        <v>177</v>
      </c>
      <c r="D1974" s="0">
        <f dt2D="0" dtr="0">HYPERLINK("https://www.icra.in/Rating/RatingDetails?CompanyId=0&amp;CompanyName=Safe Parenterals Private Limited", "Rationale")</f>
        <v/>
      </c>
    </row>
    <row r="1975">
      <c r="A1975" s="0" t="s">
        <v>4672</v>
      </c>
      <c r="B1975" s="0" t="s">
        <v>4673</v>
      </c>
      <c r="C1975" s="0" t="s">
        <v>514</v>
      </c>
      <c r="D1975" s="0">
        <f dt2D="0" dtr="0">HYPERLINK("https://www.icra.in/Rating/RatingDetails?CompanyId=0&amp;CompanyName=Safeflex International Limited", "Rationale")</f>
        <v/>
      </c>
    </row>
    <row r="1976">
      <c r="A1976" s="0" t="s">
        <v>4674</v>
      </c>
      <c r="B1976" s="0" t="s">
        <v>4675</v>
      </c>
      <c r="C1976" s="0" t="s">
        <v>1664</v>
      </c>
      <c r="D1976" s="0">
        <f dt2D="0" dtr="0">HYPERLINK("https://www.icra.in/Rating/RatingDetails?CompanyId=0&amp;CompanyName=Safe-Tronics Automation Private Limited", "Rationale")</f>
        <v/>
      </c>
    </row>
    <row r="1977">
      <c r="A1977" s="0" t="s">
        <v>4676</v>
      </c>
      <c r="B1977" s="0" t="s">
        <v>4677</v>
      </c>
      <c r="C1977" s="0" t="s">
        <v>2777</v>
      </c>
      <c r="D1977" s="0">
        <f dt2D="0" dtr="0">HYPERLINK("https://www.icra.in/Rating/RatingDetails?CompanyId=0&amp;CompanyName=Safi Steel Traders Private Limited", "Rationale")</f>
        <v/>
      </c>
    </row>
    <row r="1978">
      <c r="A1978" s="0" t="s">
        <v>4678</v>
      </c>
      <c r="B1978" s="0" t="s">
        <v>4679</v>
      </c>
      <c r="C1978" s="0" t="s">
        <v>3404</v>
      </c>
      <c r="D1978" s="0">
        <f dt2D="0" dtr="0">HYPERLINK("https://www.icra.in/Rating/RatingDetails?CompanyId=0&amp;CompanyName=Sagar Foods", "Rationale")</f>
        <v/>
      </c>
    </row>
    <row r="1979">
      <c r="A1979" s="0" t="s">
        <v>4680</v>
      </c>
      <c r="B1979" s="0" t="s">
        <v>4681</v>
      </c>
      <c r="C1979" s="0" t="s">
        <v>42</v>
      </c>
      <c r="D1979" s="0">
        <f dt2D="0" dtr="0">HYPERLINK("https://www.icra.in/Rating/RatingDetails?CompanyId=0&amp;CompanyName=Sagar International", "Rationale")</f>
        <v/>
      </c>
    </row>
    <row r="1980">
      <c r="A1980" s="0" t="s">
        <v>4682</v>
      </c>
      <c r="B1980" s="0" t="s">
        <v>4683</v>
      </c>
      <c r="C1980" s="0" t="s">
        <v>71</v>
      </c>
      <c r="D1980" s="0">
        <f dt2D="0" dtr="0">HYPERLINK("https://www.icra.in/Rating/RatingDetails?CompanyId=0&amp;CompanyName=Sahakar Shiromani Vasantrao Kale Sahakari Sakhar Karkhana Limited", "Rationale")</f>
        <v/>
      </c>
    </row>
    <row r="1981">
      <c r="A1981" s="0" t="s">
        <v>4684</v>
      </c>
      <c r="B1981" s="0" t="s">
        <v>4685</v>
      </c>
      <c r="C1981" s="0" t="s">
        <v>71</v>
      </c>
      <c r="D1981" s="0">
        <f dt2D="0" dtr="0">HYPERLINK("https://www.icra.in/Rating/RatingDetails?CompanyId=0&amp;CompanyName=Sahara Industries", "Rationale")</f>
        <v/>
      </c>
    </row>
    <row r="1982">
      <c r="A1982" s="0" t="s">
        <v>4686</v>
      </c>
      <c r="B1982" s="0" t="s">
        <v>4687</v>
      </c>
      <c r="C1982" s="0" t="s">
        <v>4688</v>
      </c>
      <c r="D1982" s="0">
        <f dt2D="0" dtr="0">HYPERLINK("https://www.icra.in/Rating/RatingDetails?CompanyId=0&amp;CompanyName=Sahastraa Exports Private Limited", "Rationale")</f>
        <v/>
      </c>
    </row>
    <row r="1983">
      <c r="A1983" s="0" t="s">
        <v>4689</v>
      </c>
      <c r="B1983" s="0" t="s">
        <v>4690</v>
      </c>
      <c r="C1983" s="0" t="s">
        <v>511</v>
      </c>
      <c r="D1983" s="0">
        <f dt2D="0" dtr="0">HYPERLINK("https://www.icra.in/Rating/RatingDetails?CompanyId=0&amp;CompanyName=Sahu Hydro Power Private Limited", "Rationale")</f>
        <v/>
      </c>
    </row>
    <row r="1984">
      <c r="A1984" s="0" t="s">
        <v>4691</v>
      </c>
      <c r="B1984" s="0" t="s">
        <v>4692</v>
      </c>
      <c r="C1984" s="0" t="s">
        <v>4433</v>
      </c>
      <c r="D1984" s="0">
        <f dt2D="0" dtr="0">HYPERLINK("https://www.icra.in/Rating/RatingDetails?CompanyId=0&amp;CompanyName=Sahuwala Cylinders Pvt Ltd", "Rationale")</f>
        <v/>
      </c>
    </row>
    <row r="1985">
      <c r="A1985" s="0" t="s">
        <v>4693</v>
      </c>
      <c r="B1985" s="0" t="s">
        <v>4694</v>
      </c>
      <c r="C1985" s="0" t="s">
        <v>1815</v>
      </c>
      <c r="D1985" s="0">
        <f dt2D="0" dtr="0">HYPERLINK("https://www.icra.in/Rating/RatingDetails?CompanyId=0&amp;CompanyName=Sai Global Yarntex (India) Private Limited", "Rationale")</f>
        <v/>
      </c>
    </row>
    <row r="1986">
      <c r="A1986" s="0" t="s">
        <v>4695</v>
      </c>
      <c r="B1986" s="0" t="s">
        <v>4696</v>
      </c>
      <c r="C1986" s="0" t="s">
        <v>4228</v>
      </c>
      <c r="D1986" s="0">
        <f dt2D="0" dtr="0">HYPERLINK("https://www.icra.in/Rating/RatingDetails?CompanyId=0&amp;CompanyName=Sai International", "Rationale")</f>
        <v/>
      </c>
    </row>
    <row r="1987">
      <c r="A1987" s="0" t="s">
        <v>4697</v>
      </c>
      <c r="B1987" s="0" t="s">
        <v>4698</v>
      </c>
      <c r="C1987" s="0" t="s">
        <v>343</v>
      </c>
      <c r="D1987" s="0">
        <f dt2D="0" dtr="0">HYPERLINK("https://www.icra.in/Rating/RatingDetails?CompanyId=0&amp;CompanyName=Sai Krishna Developers", "Rationale")</f>
        <v/>
      </c>
    </row>
    <row r="1988">
      <c r="A1988" s="0" t="s">
        <v>4699</v>
      </c>
      <c r="B1988" s="0" t="s">
        <v>4700</v>
      </c>
      <c r="C1988" s="0" t="s">
        <v>71</v>
      </c>
      <c r="D1988" s="0">
        <f dt2D="0" dtr="0">HYPERLINK("https://www.icra.in/Rating/RatingDetails?CompanyId=0&amp;CompanyName=Sai Point Bikes and Cars", "Rationale")</f>
        <v/>
      </c>
    </row>
    <row r="1989">
      <c r="A1989" s="0" t="s">
        <v>4701</v>
      </c>
      <c r="B1989" s="0" t="s">
        <v>4702</v>
      </c>
      <c r="C1989" s="0" t="s">
        <v>1131</v>
      </c>
      <c r="D1989" s="0">
        <f dt2D="0" dtr="0">HYPERLINK("https://www.icra.in/Rating/RatingDetails?CompanyId=0&amp;CompanyName=Sai Radha Pharma (India) Private Limited", "Rationale")</f>
        <v/>
      </c>
    </row>
    <row r="1990">
      <c r="A1990" s="0" t="s">
        <v>4703</v>
      </c>
      <c r="B1990" s="0" t="s">
        <v>4704</v>
      </c>
      <c r="C1990" s="0" t="s">
        <v>2656</v>
      </c>
      <c r="D1990" s="0">
        <f dt2D="0" dtr="0">HYPERLINK("https://www.icra.in/Rating/RatingDetails?CompanyId=0&amp;CompanyName=Sai Regency Power Corporation Private Limited", "Rationale")</f>
        <v/>
      </c>
    </row>
    <row r="1991">
      <c r="A1991" s="0" t="s">
        <v>4705</v>
      </c>
      <c r="B1991" s="0" t="s">
        <v>4706</v>
      </c>
      <c r="C1991" s="0" t="s">
        <v>1541</v>
      </c>
      <c r="D1991" s="0">
        <f dt2D="0" dtr="0">HYPERLINK("https://www.icra.in/Rating/RatingDetails?CompanyId=0&amp;CompanyName=Sai Swadhin Commercials Private Limited", "Rationale")</f>
        <v/>
      </c>
    </row>
    <row r="1992">
      <c r="A1992" s="0" t="s">
        <v>4707</v>
      </c>
      <c r="B1992" s="0" t="s">
        <v>4708</v>
      </c>
      <c r="C1992" s="0" t="s">
        <v>4709</v>
      </c>
      <c r="D1992" s="0">
        <f dt2D="0" dtr="0">HYPERLINK("https://www.icra.in/Rating/RatingDetails?CompanyId=0&amp;CompanyName=Sai-Laxmi Texofab", "Rationale")</f>
        <v/>
      </c>
    </row>
    <row r="1993">
      <c r="A1993" s="0" t="s">
        <v>4710</v>
      </c>
      <c r="B1993" s="0" t="s">
        <v>4711</v>
      </c>
      <c r="C1993" s="0" t="s">
        <v>71</v>
      </c>
      <c r="D1993" s="0">
        <f dt2D="0" dtr="0">HYPERLINK("https://www.icra.in/Rating/RatingDetails?CompanyId=0&amp;CompanyName=Saimax Ceramic Private Limited", "Rationale")</f>
        <v/>
      </c>
    </row>
    <row r="1994">
      <c r="A1994" s="0" t="s">
        <v>4712</v>
      </c>
      <c r="B1994" s="0" t="s">
        <v>4713</v>
      </c>
      <c r="C1994" s="0" t="s">
        <v>4714</v>
      </c>
      <c r="D1994" s="0">
        <f dt2D="0" dtr="0">HYPERLINK("https://www.icra.in/Rating/RatingDetails?CompanyId=0&amp;CompanyName=Saisons Trade &amp; Industry Private Limited", "Rationale")</f>
        <v/>
      </c>
    </row>
    <row r="1995">
      <c r="A1995" s="0" t="s">
        <v>4715</v>
      </c>
      <c r="B1995" s="0" t="s">
        <v>4716</v>
      </c>
      <c r="C1995" s="0" t="s">
        <v>2292</v>
      </c>
      <c r="D1995" s="0">
        <f dt2D="0" dtr="0">HYPERLINK("https://www.icra.in/Rating/RatingDetails?CompanyId=0&amp;CompanyName=Saisudhir Infrastructures Limited", "Rationale")</f>
        <v/>
      </c>
    </row>
    <row r="1996">
      <c r="A1996" s="0" t="s">
        <v>4717</v>
      </c>
      <c r="B1996" s="0" t="s">
        <v>4718</v>
      </c>
      <c r="C1996" s="0" t="s">
        <v>71</v>
      </c>
      <c r="D1996" s="0">
        <f dt2D="0" dtr="0">HYPERLINK("https://www.icra.in/Rating/RatingDetails?CompanyId=0&amp;CompanyName=Saiwin Ceramic Private Limited", "Rationale")</f>
        <v/>
      </c>
    </row>
    <row r="1997">
      <c r="A1997" s="0" t="s">
        <v>4719</v>
      </c>
      <c r="B1997" s="0" t="s">
        <v>4720</v>
      </c>
      <c r="C1997" s="0" t="s">
        <v>2327</v>
      </c>
      <c r="D1997" s="0">
        <f dt2D="0" dtr="0">HYPERLINK("https://www.icra.in/Rating/RatingDetails?CompanyId=0&amp;CompanyName=Saj Jewellery Private Limited", "Rationale")</f>
        <v/>
      </c>
    </row>
    <row r="1998">
      <c r="A1998" s="0" t="s">
        <v>4721</v>
      </c>
      <c r="B1998" s="0" t="s">
        <v>4722</v>
      </c>
      <c r="C1998" s="0" t="s">
        <v>4037</v>
      </c>
      <c r="D1998" s="0">
        <f dt2D="0" dtr="0">HYPERLINK("https://www.icra.in/Rating/RatingDetails?CompanyId=0&amp;CompanyName=Salasar Balaji Cold Storage", "Rationale")</f>
        <v/>
      </c>
    </row>
    <row r="1999">
      <c r="A1999" s="0" t="s">
        <v>4723</v>
      </c>
      <c r="B1999" s="0" t="s">
        <v>4724</v>
      </c>
      <c r="C1999" s="0" t="s">
        <v>324</v>
      </c>
      <c r="D1999" s="0">
        <f dt2D="0" dtr="0">HYPERLINK("https://www.icra.in/Rating/RatingDetails?CompanyId=0&amp;CompanyName=Salasar Plywood Private Limited", "Rationale")</f>
        <v/>
      </c>
    </row>
    <row r="2000">
      <c r="A2000" s="0" t="s">
        <v>4725</v>
      </c>
      <c r="B2000" s="0" t="s">
        <v>4726</v>
      </c>
      <c r="C2000" s="0" t="s">
        <v>2995</v>
      </c>
      <c r="D2000" s="0">
        <f dt2D="0" dtr="0">HYPERLINK("https://www.icra.in/Rating/RatingDetails?CompanyId=0&amp;CompanyName=Salicylates and Chemicals Private Limited", "Rationale")</f>
        <v/>
      </c>
    </row>
    <row r="2001">
      <c r="A2001" s="0" t="s">
        <v>4727</v>
      </c>
      <c r="B2001" s="0" t="s">
        <v>4728</v>
      </c>
      <c r="C2001" s="0" t="s">
        <v>71</v>
      </c>
      <c r="D2001" s="0">
        <f dt2D="0" dtr="0">HYPERLINK("https://www.icra.in/Rating/RatingDetails?CompanyId=0&amp;CompanyName=Sambhaji Raje Cold Storage", "Rationale")</f>
        <v/>
      </c>
    </row>
    <row r="2002">
      <c r="A2002" s="0" t="s">
        <v>4729</v>
      </c>
      <c r="B2002" s="0" t="s">
        <v>4730</v>
      </c>
      <c r="C2002" s="0" t="s">
        <v>4731</v>
      </c>
      <c r="D2002" s="0">
        <f dt2D="0" dtr="0">HYPERLINK("https://www.icra.in/Rating/RatingDetails?CompanyId=0&amp;CompanyName=Samdariya Abhushan Pvt Ltd", "Rationale")</f>
        <v/>
      </c>
    </row>
    <row r="2003">
      <c r="A2003" s="0" t="s">
        <v>4732</v>
      </c>
      <c r="B2003" s="0" t="s">
        <v>4733</v>
      </c>
      <c r="C2003" s="0" t="s">
        <v>200</v>
      </c>
      <c r="D2003" s="0">
        <f dt2D="0" dtr="0">HYPERLINK("https://www.icra.in/Rating/RatingDetails?CompanyId=0&amp;CompanyName=SAMDARIYA BUILDERS PVT. LTD.", "Rationale")</f>
        <v/>
      </c>
    </row>
    <row r="2004">
      <c r="A2004" s="0" t="s">
        <v>4734</v>
      </c>
      <c r="B2004" s="0" t="s">
        <v>4735</v>
      </c>
      <c r="C2004" s="0" t="s">
        <v>71</v>
      </c>
      <c r="D2004" s="0">
        <f dt2D="0" dtr="0">HYPERLINK("https://www.icra.in/Rating/RatingDetails?CompanyId=0&amp;CompanyName=Samet Plast", "Rationale")</f>
        <v/>
      </c>
    </row>
    <row r="2005">
      <c r="A2005" s="0" t="s">
        <v>4736</v>
      </c>
      <c r="B2005" s="0" t="s">
        <v>4737</v>
      </c>
      <c r="C2005" s="0" t="s">
        <v>71</v>
      </c>
      <c r="D2005" s="0">
        <f dt2D="0" dtr="0">HYPERLINK("https://www.icra.in/Rating/RatingDetails?CompanyId=0&amp;CompanyName=Samkit Diamond Export Private Limited", "Rationale")</f>
        <v/>
      </c>
    </row>
    <row r="2006">
      <c r="A2006" s="0" t="s">
        <v>4738</v>
      </c>
      <c r="B2006" s="0" t="s">
        <v>4739</v>
      </c>
      <c r="C2006" s="0" t="s">
        <v>679</v>
      </c>
      <c r="D2006" s="0">
        <f dt2D="0" dtr="0">HYPERLINK("https://www.icra.in/Rating/RatingDetails?CompanyId=0&amp;CompanyName=Samrat Sea Brines Private Limited", "Rationale")</f>
        <v/>
      </c>
    </row>
    <row r="2007">
      <c r="A2007" s="0" t="s">
        <v>4740</v>
      </c>
      <c r="B2007" s="0" t="s">
        <v>4741</v>
      </c>
      <c r="C2007" s="0" t="s">
        <v>430</v>
      </c>
      <c r="D2007" s="0">
        <f dt2D="0" dtr="0">HYPERLINK("https://www.icra.in/Rating/RatingDetails?CompanyId=0&amp;CompanyName=Samruddha Resources Limited", "Rationale")</f>
        <v/>
      </c>
    </row>
    <row r="2008">
      <c r="A2008" s="0" t="s">
        <v>4742</v>
      </c>
      <c r="B2008" s="0" t="s">
        <v>4743</v>
      </c>
      <c r="C2008" s="0" t="s">
        <v>146</v>
      </c>
      <c r="D2008" s="0">
        <f dt2D="0" dtr="0">HYPERLINK("https://www.icra.in/Rating/RatingDetails?CompanyId=0&amp;CompanyName=Sanchem Fabrics Limited", "Rationale")</f>
        <v/>
      </c>
    </row>
    <row r="2009">
      <c r="A2009" s="0" t="s">
        <v>4744</v>
      </c>
      <c r="B2009" s="0" t="s">
        <v>4745</v>
      </c>
      <c r="C2009" s="0" t="s">
        <v>103</v>
      </c>
      <c r="D2009" s="0">
        <f dt2D="0" dtr="0">HYPERLINK("https://www.icra.in/Rating/RatingDetails?CompanyId=0&amp;CompanyName=Sanchit Polymers", "Rationale")</f>
        <v/>
      </c>
    </row>
    <row r="2010">
      <c r="A2010" s="0" t="s">
        <v>4746</v>
      </c>
      <c r="B2010" s="0" t="s">
        <v>4747</v>
      </c>
      <c r="C2010" s="0" t="s">
        <v>3323</v>
      </c>
      <c r="D2010" s="0">
        <f dt2D="0" dtr="0">HYPERLINK("https://www.icra.in/Rating/RatingDetails?CompanyId=0&amp;CompanyName=Sandeep Rice Mills", "Rationale")</f>
        <v/>
      </c>
    </row>
    <row r="2011">
      <c r="A2011" s="0" t="s">
        <v>4748</v>
      </c>
      <c r="B2011" s="0" t="s">
        <v>4749</v>
      </c>
      <c r="C2011" s="0" t="s">
        <v>1575</v>
      </c>
      <c r="D2011" s="0">
        <f dt2D="0" dtr="0">HYPERLINK("https://www.icra.in/Rating/RatingDetails?CompanyId=0&amp;CompanyName=Sangamner Taluka Sahakari Dudh Utpadak And Prakriya Sangh Limited", "Rationale")</f>
        <v/>
      </c>
    </row>
    <row r="2012">
      <c r="A2012" s="0" t="s">
        <v>4750</v>
      </c>
      <c r="B2012" s="0" t="s">
        <v>4751</v>
      </c>
      <c r="C2012" s="0" t="s">
        <v>2155</v>
      </c>
      <c r="D2012" s="0">
        <f dt2D="0" dtr="0">HYPERLINK("https://www.icra.in/Rating/RatingDetails?CompanyId=0&amp;CompanyName=Sanghvi Buildtech Llp", "Rationale")</f>
        <v/>
      </c>
    </row>
    <row r="2013">
      <c r="A2013" s="0" t="s">
        <v>4752</v>
      </c>
      <c r="B2013" s="0" t="s">
        <v>4753</v>
      </c>
      <c r="C2013" s="0" t="s">
        <v>1638</v>
      </c>
      <c r="D2013" s="0">
        <f dt2D="0" dtr="0">HYPERLINK("https://www.icra.in/Rating/RatingDetails?CompanyId=0&amp;CompanyName=Sangli Miraj and Kupwad Municipal Corporation", "Rationale")</f>
        <v/>
      </c>
    </row>
    <row r="2014">
      <c r="A2014" s="0" t="s">
        <v>4754</v>
      </c>
      <c r="B2014" s="0" t="s">
        <v>4755</v>
      </c>
      <c r="C2014" s="0" t="s">
        <v>3153</v>
      </c>
      <c r="D2014" s="0">
        <f dt2D="0" dtr="0">HYPERLINK("https://www.icra.in/Rating/RatingDetails?CompanyId=0&amp;CompanyName=Sanjay Rice Mills Pvt. Ltd.", "Rationale")</f>
        <v/>
      </c>
    </row>
    <row r="2015">
      <c r="A2015" s="0" t="s">
        <v>4756</v>
      </c>
      <c r="B2015" s="0" t="s">
        <v>4757</v>
      </c>
      <c r="C2015" s="0" t="s">
        <v>941</v>
      </c>
      <c r="D2015" s="0">
        <f dt2D="0" dtr="0">HYPERLINK("https://www.icra.in/Rating/RatingDetails?CompanyId=0&amp;CompanyName=Sant Deepak Education and Charitable Trust", "Rationale")</f>
        <v/>
      </c>
    </row>
    <row r="2016">
      <c r="A2016" s="0" t="s">
        <v>4758</v>
      </c>
      <c r="B2016" s="0" t="s">
        <v>4759</v>
      </c>
      <c r="C2016" s="0" t="s">
        <v>3187</v>
      </c>
      <c r="D2016" s="0">
        <f dt2D="0" dtr="0">HYPERLINK("https://www.icra.in/Rating/RatingDetails?CompanyId=0&amp;CompanyName=Sant Foods Private Limited", "Rationale")</f>
        <v/>
      </c>
    </row>
    <row r="2017">
      <c r="A2017" s="0" t="s">
        <v>4760</v>
      </c>
      <c r="B2017" s="0" t="s">
        <v>4761</v>
      </c>
      <c r="C2017" s="0" t="s">
        <v>4051</v>
      </c>
      <c r="D2017" s="0">
        <f dt2D="0" dtr="0">HYPERLINK("https://www.icra.in/Rating/RatingDetails?CompanyId=0&amp;CompanyName=Santhalakshmi Mills India Llp", "Rationale")</f>
        <v/>
      </c>
    </row>
    <row r="2018">
      <c r="A2018" s="0" t="s">
        <v>4762</v>
      </c>
      <c r="B2018" s="0" t="s">
        <v>4763</v>
      </c>
      <c r="C2018" s="0" t="s">
        <v>4113</v>
      </c>
      <c r="D2018" s="0">
        <f dt2D="0" dtr="0">HYPERLINK("https://www.icra.in/Rating/RatingDetails?CompanyId=0&amp;CompanyName=Santlal Industries Limited", "Rationale")</f>
        <v/>
      </c>
    </row>
    <row r="2019">
      <c r="A2019" s="0" t="s">
        <v>4764</v>
      </c>
      <c r="B2019" s="0" t="s">
        <v>4765</v>
      </c>
      <c r="C2019" s="0" t="s">
        <v>71</v>
      </c>
      <c r="D2019" s="0">
        <f dt2D="0" dtr="0">HYPERLINK("https://www.icra.in/Rating/RatingDetails?CompanyId=0&amp;CompanyName=Santosh Enterprises", "Rationale")</f>
        <v/>
      </c>
    </row>
    <row r="2020">
      <c r="A2020" s="0" t="s">
        <v>4766</v>
      </c>
      <c r="B2020" s="0" t="s">
        <v>4767</v>
      </c>
      <c r="C2020" s="0" t="s">
        <v>71</v>
      </c>
      <c r="D2020" s="0">
        <f dt2D="0" dtr="0">HYPERLINK("https://www.icra.in/Rating/RatingDetails?CompanyId=0&amp;CompanyName=Santosh Kumar Sharma", "Rationale")</f>
        <v/>
      </c>
    </row>
    <row r="2021">
      <c r="A2021" s="0" t="s">
        <v>4768</v>
      </c>
      <c r="B2021" s="0" t="s">
        <v>4769</v>
      </c>
      <c r="C2021" s="0" t="s">
        <v>50</v>
      </c>
      <c r="D2021" s="0">
        <f dt2D="0" dtr="0">HYPERLINK("https://www.icra.in/Rating/RatingDetails?CompanyId=0&amp;CompanyName=Santoshi Leather Works", "Rationale")</f>
        <v/>
      </c>
    </row>
    <row r="2022">
      <c r="A2022" s="0" t="s">
        <v>4770</v>
      </c>
      <c r="B2022" s="0" t="s">
        <v>4771</v>
      </c>
      <c r="C2022" s="0" t="s">
        <v>4772</v>
      </c>
      <c r="D2022" s="0">
        <f dt2D="0" dtr="0">HYPERLINK("https://www.icra.in/Rating/RatingDetails?CompanyId=0&amp;CompanyName=Sapphire Lifesciences Private Limited", "Rationale")</f>
        <v/>
      </c>
    </row>
    <row r="2023">
      <c r="A2023" s="0" t="s">
        <v>4773</v>
      </c>
      <c r="B2023" s="0" t="s">
        <v>4774</v>
      </c>
      <c r="C2023" s="0" t="s">
        <v>338</v>
      </c>
      <c r="D2023" s="0">
        <f dt2D="0" dtr="0">HYPERLINK("https://www.icra.in/Rating/RatingDetails?CompanyId=0&amp;CompanyName=Sar Senapati Santaji Ghorpade Sugar Factory Limited", "Rationale")</f>
        <v/>
      </c>
    </row>
    <row r="2024">
      <c r="A2024" s="0" t="s">
        <v>4775</v>
      </c>
      <c r="B2024" s="0" t="s">
        <v>4776</v>
      </c>
      <c r="C2024" s="0" t="s">
        <v>1541</v>
      </c>
      <c r="D2024" s="0">
        <f dt2D="0" dtr="0">HYPERLINK("https://www.icra.in/Rating/RatingDetails?CompanyId=0&amp;CompanyName=Saraswati Education Society Kharghar", "Rationale")</f>
        <v/>
      </c>
    </row>
    <row r="2025">
      <c r="A2025" s="0" t="s">
        <v>4777</v>
      </c>
      <c r="B2025" s="0" t="s">
        <v>4778</v>
      </c>
      <c r="C2025" s="0" t="s">
        <v>71</v>
      </c>
      <c r="D2025" s="0">
        <f dt2D="0" dtr="0">HYPERLINK("https://www.icra.in/Rating/RatingDetails?CompanyId=0&amp;CompanyName=Saratha Electro Plater", "Rationale")</f>
        <v/>
      </c>
    </row>
    <row r="2026">
      <c r="A2026" s="0" t="s">
        <v>4779</v>
      </c>
      <c r="B2026" s="0" t="s">
        <v>4780</v>
      </c>
      <c r="C2026" s="0" t="s">
        <v>298</v>
      </c>
      <c r="D2026" s="0">
        <f dt2D="0" dtr="0">HYPERLINK("https://www.icra.in/Rating/RatingDetails?CompanyId=0&amp;CompanyName=Saravana Buildwell Private Limited", "Rationale")</f>
        <v/>
      </c>
    </row>
    <row r="2027">
      <c r="A2027" s="0" t="s">
        <v>4781</v>
      </c>
      <c r="B2027" s="0" t="s">
        <v>4782</v>
      </c>
      <c r="C2027" s="0" t="s">
        <v>4783</v>
      </c>
      <c r="D2027" s="0">
        <f dt2D="0" dtr="0">HYPERLINK("https://www.icra.in/Rating/RatingDetails?CompanyId=0&amp;CompanyName=SARAVANA SPINNERS LIMITED", "Rationale")</f>
        <v/>
      </c>
    </row>
    <row r="2028">
      <c r="A2028" s="0" t="s">
        <v>4784</v>
      </c>
      <c r="B2028" s="0" t="s">
        <v>4785</v>
      </c>
      <c r="C2028" s="0" t="s">
        <v>71</v>
      </c>
      <c r="D2028" s="0">
        <f dt2D="0" dtr="0">HYPERLINK("https://www.icra.in/Rating/RatingDetails?CompanyId=0&amp;CompanyName=Sarawagi Automobiles Private Limited", "Rationale")</f>
        <v/>
      </c>
    </row>
    <row r="2029">
      <c r="A2029" s="0" t="s">
        <v>4786</v>
      </c>
      <c r="B2029" s="0" t="s">
        <v>4787</v>
      </c>
      <c r="C2029" s="0" t="s">
        <v>4788</v>
      </c>
      <c r="D2029" s="0">
        <f dt2D="0" dtr="0">HYPERLINK("https://www.icra.in/Rating/RatingDetails?CompanyId=0&amp;CompanyName=Sarbamangala Agro Products Pvt Ltd", "Rationale")</f>
        <v/>
      </c>
    </row>
    <row r="2030">
      <c r="A2030" s="0" t="s">
        <v>4789</v>
      </c>
      <c r="B2030" s="0" t="s">
        <v>4790</v>
      </c>
      <c r="C2030" s="0" t="s">
        <v>39</v>
      </c>
      <c r="D2030" s="0">
        <f dt2D="0" dtr="0">HYPERLINK("https://www.icra.in/Rating/RatingDetails?CompanyId=0&amp;CompanyName=Sardar Cotton", "Rationale")</f>
        <v/>
      </c>
    </row>
    <row r="2031">
      <c r="A2031" s="0" t="s">
        <v>4791</v>
      </c>
      <c r="B2031" s="0" t="s">
        <v>4792</v>
      </c>
      <c r="C2031" s="0" t="s">
        <v>50</v>
      </c>
      <c r="D2031" s="0">
        <f dt2D="0" dtr="0">HYPERLINK("https://www.icra.in/Rating/RatingDetails?CompanyId=0&amp;CompanyName=Sargam Metals Private Limited", "Rationale")</f>
        <v/>
      </c>
    </row>
    <row r="2032">
      <c r="A2032" s="0" t="s">
        <v>4793</v>
      </c>
      <c r="B2032" s="0" t="s">
        <v>4794</v>
      </c>
      <c r="C2032" s="0" t="s">
        <v>4795</v>
      </c>
      <c r="D2032" s="0">
        <f dt2D="0" dtr="0">HYPERLINK("https://www.icra.in/Rating/RatingDetails?CompanyId=0&amp;CompanyName=Sarjan Infracon Pvt. Ltd.", "Rationale")</f>
        <v/>
      </c>
    </row>
    <row r="2033">
      <c r="A2033" s="0" t="s">
        <v>4796</v>
      </c>
      <c r="B2033" s="0" t="s">
        <v>4797</v>
      </c>
      <c r="C2033" s="0" t="s">
        <v>4798</v>
      </c>
      <c r="D2033" s="0">
        <f dt2D="0" dtr="0">HYPERLINK("https://www.icra.in/Rating/RatingDetails?CompanyId=0&amp;CompanyName=Saroja Aviation Limited", "Rationale")</f>
        <v/>
      </c>
    </row>
    <row r="2034">
      <c r="A2034" s="0" t="s">
        <v>4799</v>
      </c>
      <c r="B2034" s="0" t="s">
        <v>4800</v>
      </c>
      <c r="C2034" s="0" t="s">
        <v>1877</v>
      </c>
      <c r="D2034" s="0">
        <f dt2D="0" dtr="0">HYPERLINK("https://www.icra.in/Rating/RatingDetails?CompanyId=0&amp;CompanyName=Sarvesh Bliss Healthcare Private Limited", "Rationale")</f>
        <v/>
      </c>
    </row>
    <row r="2035">
      <c r="A2035" s="0" t="s">
        <v>4801</v>
      </c>
      <c r="B2035" s="0" t="s">
        <v>4802</v>
      </c>
      <c r="C2035" s="0" t="s">
        <v>1651</v>
      </c>
      <c r="D2035" s="0">
        <f dt2D="0" dtr="0">HYPERLINK("https://www.icra.in/Rating/RatingDetails?CompanyId=0&amp;CompanyName=Sarvesh Cars and Motors Private Limited", "Rationale")</f>
        <v/>
      </c>
    </row>
    <row r="2036">
      <c r="A2036" s="0" t="s">
        <v>4803</v>
      </c>
      <c r="B2036" s="0" t="s">
        <v>4804</v>
      </c>
      <c r="C2036" s="0" t="s">
        <v>528</v>
      </c>
      <c r="D2036" s="0">
        <f dt2D="0" dtr="0">HYPERLINK("https://www.icra.in/Rating/RatingDetails?CompanyId=0&amp;CompanyName=Sarveshwari Exports Private Limited", "Rationale")</f>
        <v/>
      </c>
    </row>
    <row r="2037">
      <c r="A2037" s="0" t="s">
        <v>4805</v>
      </c>
      <c r="B2037" s="0" t="s">
        <v>4806</v>
      </c>
      <c r="C2037" s="0" t="s">
        <v>662</v>
      </c>
      <c r="D2037" s="0">
        <f dt2D="0" dtr="0">HYPERLINK("https://www.icra.in/Rating/RatingDetails?CompanyId=0&amp;CompanyName=Sarvodaya Polymers Pvt Ltd", "Rationale")</f>
        <v/>
      </c>
    </row>
    <row r="2038">
      <c r="A2038" s="0" t="s">
        <v>4807</v>
      </c>
      <c r="B2038" s="0" t="s">
        <v>4808</v>
      </c>
      <c r="C2038" s="0" t="s">
        <v>71</v>
      </c>
      <c r="D2038" s="0">
        <f dt2D="0" dtr="0">HYPERLINK("https://www.icra.in/Rating/RatingDetails?CompanyId=0&amp;CompanyName=Sasidhar Poultries Private Limited", "Rationale")</f>
        <v/>
      </c>
    </row>
    <row r="2039">
      <c r="A2039" s="0" t="s">
        <v>4809</v>
      </c>
      <c r="B2039" s="0" t="s">
        <v>4810</v>
      </c>
      <c r="C2039" s="0" t="s">
        <v>50</v>
      </c>
      <c r="D2039" s="0">
        <f dt2D="0" dtr="0">HYPERLINK("https://www.icra.in/Rating/RatingDetails?CompanyId=0&amp;CompanyName=Saspack Ventures Pvt Ltd.", "Rationale")</f>
        <v/>
      </c>
    </row>
    <row r="2040">
      <c r="A2040" s="0" t="s">
        <v>4811</v>
      </c>
      <c r="B2040" s="0" t="s">
        <v>4812</v>
      </c>
      <c r="C2040" s="0" t="s">
        <v>71</v>
      </c>
      <c r="D2040" s="0">
        <f dt2D="0" dtr="0">HYPERLINK("https://www.icra.in/Rating/RatingDetails?CompanyId=0&amp;CompanyName=SAT India Limited", "Rationale")</f>
        <v/>
      </c>
    </row>
    <row r="2041">
      <c r="A2041" s="0" t="s">
        <v>4813</v>
      </c>
      <c r="B2041" s="0" t="s">
        <v>4814</v>
      </c>
      <c r="C2041" s="0" t="s">
        <v>634</v>
      </c>
      <c r="D2041" s="0">
        <f dt2D="0" dtr="0">HYPERLINK("https://www.icra.in/Rating/RatingDetails?CompanyId=0&amp;CompanyName=Satguru Metals &amp; Power Private Limited", "Rationale")</f>
        <v/>
      </c>
    </row>
    <row r="2042">
      <c r="A2042" s="0" t="s">
        <v>4815</v>
      </c>
      <c r="B2042" s="0" t="s">
        <v>4816</v>
      </c>
      <c r="C2042" s="0" t="s">
        <v>808</v>
      </c>
      <c r="D2042" s="0">
        <f dt2D="0" dtr="0">HYPERLINK("https://www.icra.in/Rating/RatingDetails?CompanyId=0&amp;CompanyName=Sathish Engineering Works", "Rationale")</f>
        <v/>
      </c>
    </row>
    <row r="2043">
      <c r="A2043" s="0" t="s">
        <v>4817</v>
      </c>
      <c r="B2043" s="0" t="s">
        <v>4818</v>
      </c>
      <c r="C2043" s="0" t="s">
        <v>2134</v>
      </c>
      <c r="D2043" s="0">
        <f dt2D="0" dtr="0">HYPERLINK("https://www.icra.in/Rating/RatingDetails?CompanyId=0&amp;CompanyName=Sathyanarayana Agro Industries", "Rationale")</f>
        <v/>
      </c>
    </row>
    <row r="2044">
      <c r="A2044" s="0" t="s">
        <v>4819</v>
      </c>
      <c r="B2044" s="0" t="s">
        <v>4820</v>
      </c>
      <c r="C2044" s="0" t="s">
        <v>1461</v>
      </c>
      <c r="D2044" s="0">
        <f dt2D="0" dtr="0">HYPERLINK("https://www.icra.in/Rating/RatingDetails?CompanyId=0&amp;CompanyName=Satkar Logistics Private Limited", "Rationale")</f>
        <v/>
      </c>
    </row>
    <row r="2045">
      <c r="A2045" s="0" t="s">
        <v>4821</v>
      </c>
      <c r="B2045" s="0" t="s">
        <v>4822</v>
      </c>
      <c r="C2045" s="0" t="s">
        <v>18</v>
      </c>
      <c r="D2045" s="0">
        <f dt2D="0" dtr="0">HYPERLINK("https://www.icra.in/Rating/RatingDetails?CompanyId=0&amp;CompanyName=Satnaam Stone Crushers Private Limited", "Rationale")</f>
        <v/>
      </c>
    </row>
    <row r="2046">
      <c r="A2046" s="0" t="s">
        <v>4823</v>
      </c>
      <c r="B2046" s="0" t="s">
        <v>4824</v>
      </c>
      <c r="C2046" s="0" t="s">
        <v>1486</v>
      </c>
      <c r="D2046" s="0">
        <f dt2D="0" dtr="0">HYPERLINK("https://www.icra.in/Rating/RatingDetails?CompanyId=0&amp;CompanyName=Satnam Psyllium Industries", "Rationale")</f>
        <v/>
      </c>
    </row>
    <row r="2047">
      <c r="A2047" s="0" t="s">
        <v>4825</v>
      </c>
      <c r="B2047" s="0" t="s">
        <v>4826</v>
      </c>
      <c r="C2047" s="0" t="s">
        <v>256</v>
      </c>
      <c r="D2047" s="0">
        <f dt2D="0" dtr="0">HYPERLINK("https://www.icra.in/Rating/RatingDetails?CompanyId=0&amp;CompanyName=Satwi Infra", "Rationale")</f>
        <v/>
      </c>
    </row>
    <row r="2048">
      <c r="A2048" s="0" t="s">
        <v>4827</v>
      </c>
      <c r="B2048" s="0" t="s">
        <v>4828</v>
      </c>
      <c r="C2048" s="0" t="s">
        <v>71</v>
      </c>
      <c r="D2048" s="0">
        <f dt2D="0" dtr="0">HYPERLINK("https://www.icra.in/Rating/RatingDetails?CompanyId=0&amp;CompanyName=Satya Subal Himghar Private Limited", "Rationale")</f>
        <v/>
      </c>
    </row>
    <row r="2049">
      <c r="A2049" s="0" t="s">
        <v>4829</v>
      </c>
      <c r="B2049" s="0" t="s">
        <v>4830</v>
      </c>
      <c r="C2049" s="0" t="s">
        <v>168</v>
      </c>
      <c r="D2049" s="0">
        <f dt2D="0" dtr="0">HYPERLINK("https://www.icra.in/Rating/RatingDetails?CompanyId=0&amp;CompanyName=Satyaratan Hotels", "Rationale")</f>
        <v/>
      </c>
    </row>
    <row r="2050">
      <c r="A2050" s="0" t="s">
        <v>4831</v>
      </c>
      <c r="B2050" s="0" t="s">
        <v>4832</v>
      </c>
      <c r="C2050" s="0" t="s">
        <v>71</v>
      </c>
      <c r="D2050" s="0">
        <f dt2D="0" dtr="0">HYPERLINK("https://www.icra.in/Rating/RatingDetails?CompanyId=0&amp;CompanyName=Satyeshwar Heemghar Private Limited", "Rationale")</f>
        <v/>
      </c>
    </row>
    <row r="2051">
      <c r="A2051" s="0" t="s">
        <v>4833</v>
      </c>
      <c r="B2051" s="0" t="s">
        <v>4834</v>
      </c>
      <c r="C2051" s="0" t="s">
        <v>4005</v>
      </c>
      <c r="D2051" s="0">
        <f dt2D="0" dtr="0">HYPERLINK("https://www.icra.in/Rating/RatingDetails?CompanyId=0&amp;CompanyName=Saurabh Agrotech Private Limited", "Rationale")</f>
        <v/>
      </c>
    </row>
    <row r="2052">
      <c r="A2052" s="0" t="s">
        <v>4835</v>
      </c>
      <c r="B2052" s="0" t="s">
        <v>4836</v>
      </c>
      <c r="C2052" s="0" t="s">
        <v>4113</v>
      </c>
      <c r="D2052" s="0">
        <f dt2D="0" dtr="0">HYPERLINK("https://www.icra.in/Rating/RatingDetails?CompanyId=0&amp;CompanyName=Saurat Auto Tech Private Limited", "Rationale")</f>
        <v/>
      </c>
    </row>
    <row r="2053">
      <c r="A2053" s="0" t="s">
        <v>4837</v>
      </c>
      <c r="B2053" s="0" t="s">
        <v>4838</v>
      </c>
      <c r="C2053" s="0" t="s">
        <v>92</v>
      </c>
      <c r="D2053" s="0">
        <f dt2D="0" dtr="0">HYPERLINK("https://www.icra.in/Rating/RatingDetails?CompanyId=0&amp;CompanyName=Savfab Developers Pvt. Ltd.", "Rationale")</f>
        <v/>
      </c>
    </row>
    <row r="2054">
      <c r="A2054" s="0" t="s">
        <v>4839</v>
      </c>
      <c r="B2054" s="0" t="s">
        <v>4840</v>
      </c>
      <c r="C2054" s="0" t="s">
        <v>71</v>
      </c>
      <c r="D2054" s="0">
        <f dt2D="0" dtr="0">HYPERLINK("https://www.icra.in/Rating/RatingDetails?CompanyId=0&amp;CompanyName=Savidha Medical Center and Hospital", "Rationale")</f>
        <v/>
      </c>
    </row>
    <row r="2055">
      <c r="A2055" s="0" t="s">
        <v>4841</v>
      </c>
      <c r="B2055" s="0" t="s">
        <v>4842</v>
      </c>
      <c r="C2055" s="0" t="s">
        <v>679</v>
      </c>
      <c r="D2055" s="0">
        <f dt2D="0" dtr="0">HYPERLINK("https://www.icra.in/Rating/RatingDetails?CompanyId=0&amp;CompanyName=Savitri Polyesters Private Limited", "Rationale")</f>
        <v/>
      </c>
    </row>
    <row r="2056">
      <c r="A2056" s="0" t="s">
        <v>4843</v>
      </c>
      <c r="B2056" s="0" t="s">
        <v>4844</v>
      </c>
      <c r="C2056" s="0" t="s">
        <v>1695</v>
      </c>
      <c r="D2056" s="0">
        <f dt2D="0" dtr="0">HYPERLINK("https://www.icra.in/Rating/RatingDetails?CompanyId=0&amp;CompanyName=Saya Automobiles Limited", "Rationale")</f>
        <v/>
      </c>
    </row>
    <row r="2057">
      <c r="A2057" s="0" t="s">
        <v>4845</v>
      </c>
      <c r="B2057" s="0" t="s">
        <v>4846</v>
      </c>
      <c r="C2057" s="0" t="s">
        <v>4307</v>
      </c>
      <c r="D2057" s="0">
        <f dt2D="0" dtr="0">HYPERLINK("https://www.icra.in/Rating/RatingDetails?CompanyId=0&amp;CompanyName=SB Urbanscapes", "Rationale")</f>
        <v/>
      </c>
    </row>
    <row r="2058">
      <c r="A2058" s="0" t="s">
        <v>4847</v>
      </c>
      <c r="B2058" s="0" t="s">
        <v>4848</v>
      </c>
      <c r="C2058" s="0" t="s">
        <v>372</v>
      </c>
      <c r="D2058" s="0">
        <f dt2D="0" dtr="0">HYPERLINK("https://www.icra.in/Rating/RatingDetails?CompanyId=0&amp;CompanyName=SBC Minerals Private Limited", "Rationale")</f>
        <v/>
      </c>
    </row>
    <row r="2059">
      <c r="A2059" s="0" t="s">
        <v>4849</v>
      </c>
      <c r="B2059" s="0" t="s">
        <v>4850</v>
      </c>
      <c r="C2059" s="0" t="s">
        <v>4851</v>
      </c>
      <c r="D2059" s="0">
        <f dt2D="0" dtr="0">HYPERLINK("https://www.icra.in/Rating/RatingDetails?CompanyId=0&amp;CompanyName=Scorpios Apparels Private Limited", "Rationale")</f>
        <v/>
      </c>
    </row>
    <row r="2060">
      <c r="A2060" s="0" t="s">
        <v>4852</v>
      </c>
      <c r="B2060" s="0" t="s">
        <v>4853</v>
      </c>
      <c r="C2060" s="0" t="s">
        <v>2525</v>
      </c>
      <c r="D2060" s="0">
        <f dt2D="0" dtr="0">HYPERLINK("https://www.icra.in/Rating/RatingDetails?CompanyId=0&amp;CompanyName=Scottish Chemical Industries", "Rationale")</f>
        <v/>
      </c>
    </row>
    <row r="2061">
      <c r="A2061" s="0" t="s">
        <v>4854</v>
      </c>
      <c r="B2061" s="0" t="s">
        <v>4855</v>
      </c>
      <c r="C2061" s="0" t="s">
        <v>103</v>
      </c>
      <c r="D2061" s="0">
        <f dt2D="0" dtr="0">HYPERLINK("https://www.icra.in/Rating/RatingDetails?CompanyId=0&amp;CompanyName=Seaga India Private Limited", "Rationale")</f>
        <v/>
      </c>
    </row>
    <row r="2062">
      <c r="A2062" s="0" t="s">
        <v>4856</v>
      </c>
      <c r="B2062" s="0" t="s">
        <v>4857</v>
      </c>
      <c r="C2062" s="0" t="s">
        <v>4858</v>
      </c>
      <c r="D2062" s="0">
        <f dt2D="0" dtr="0">HYPERLINK("https://www.icra.in/Rating/RatingDetails?CompanyId=0&amp;CompanyName=Seagull Associates", "Rationale")</f>
        <v/>
      </c>
    </row>
    <row r="2063">
      <c r="A2063" s="0" t="s">
        <v>4859</v>
      </c>
      <c r="B2063" s="0" t="s">
        <v>4860</v>
      </c>
      <c r="C2063" s="0" t="s">
        <v>427</v>
      </c>
      <c r="D2063" s="0">
        <f dt2D="0" dtr="0">HYPERLINK("https://www.icra.in/Rating/RatingDetails?CompanyId=0&amp;CompanyName=Seanto Minerals And Energy Limited", "Rationale")</f>
        <v/>
      </c>
    </row>
    <row r="2064">
      <c r="A2064" s="0" t="s">
        <v>4861</v>
      </c>
      <c r="B2064" s="0" t="s">
        <v>4862</v>
      </c>
      <c r="C2064" s="0" t="s">
        <v>460</v>
      </c>
      <c r="D2064" s="0">
        <f dt2D="0" dtr="0">HYPERLINK("https://www.icra.in/Rating/RatingDetails?CompanyId=0&amp;CompanyName=Seasons Healthcare Limited", "Rationale")</f>
        <v/>
      </c>
    </row>
    <row r="2065">
      <c r="A2065" s="0" t="s">
        <v>4863</v>
      </c>
      <c r="B2065" s="0" t="s">
        <v>4864</v>
      </c>
      <c r="C2065" s="0" t="s">
        <v>1509</v>
      </c>
      <c r="D2065" s="0">
        <f dt2D="0" dtr="0">HYPERLINK("https://www.icra.in/Rating/RatingDetails?CompanyId=0&amp;CompanyName=Secoora Tiles Llp", "Rationale")</f>
        <v/>
      </c>
    </row>
    <row r="2066">
      <c r="A2066" s="0" t="s">
        <v>4865</v>
      </c>
      <c r="B2066" s="0" t="s">
        <v>4866</v>
      </c>
      <c r="C2066" s="0" t="s">
        <v>4867</v>
      </c>
      <c r="D2066" s="0">
        <f dt2D="0" dtr="0">HYPERLINK("https://www.icra.in/Rating/RatingDetails?CompanyId=0&amp;CompanyName=Secure Industries Private Limited", "Rationale")</f>
        <v/>
      </c>
    </row>
    <row r="2067">
      <c r="A2067" s="0" t="s">
        <v>4868</v>
      </c>
      <c r="B2067" s="0" t="s">
        <v>4869</v>
      </c>
      <c r="C2067" s="0" t="s">
        <v>369</v>
      </c>
      <c r="D2067" s="0">
        <f dt2D="0" dtr="0">HYPERLINK("https://www.icra.in/Rating/RatingDetails?CompanyId=0&amp;CompanyName=Segam Tiles Pvt. Ltd.", "Rationale")</f>
        <v/>
      </c>
    </row>
    <row r="2068">
      <c r="A2068" s="0" t="s">
        <v>4870</v>
      </c>
      <c r="B2068" s="0" t="s">
        <v>4871</v>
      </c>
      <c r="C2068" s="0" t="s">
        <v>281</v>
      </c>
      <c r="D2068" s="0">
        <f dt2D="0" dtr="0">HYPERLINK("https://www.icra.in/Rating/RatingDetails?CompanyId=0&amp;CompanyName=Seleno Steels Limited", "Rationale")</f>
        <v/>
      </c>
    </row>
    <row r="2069">
      <c r="A2069" s="0" t="s">
        <v>4872</v>
      </c>
      <c r="B2069" s="0" t="s">
        <v>4873</v>
      </c>
      <c r="C2069" s="0" t="s">
        <v>278</v>
      </c>
      <c r="D2069" s="0">
        <f dt2D="0" dtr="0">HYPERLINK("https://www.icra.in/Rating/RatingDetails?CompanyId=0&amp;CompanyName=Seleo Ceramic Private Limited", "Rationale")</f>
        <v/>
      </c>
    </row>
    <row r="2070">
      <c r="A2070" s="0" t="s">
        <v>4874</v>
      </c>
      <c r="B2070" s="0" t="s">
        <v>4875</v>
      </c>
      <c r="C2070" s="0" t="s">
        <v>3287</v>
      </c>
      <c r="D2070" s="0">
        <f dt2D="0" dtr="0">HYPERLINK("https://www.icra.in/Rating/RatingDetails?CompanyId=0&amp;CompanyName=Sentini Healthcare India Private Limited", "Rationale")</f>
        <v/>
      </c>
    </row>
    <row r="2071">
      <c r="A2071" s="0" t="s">
        <v>4876</v>
      </c>
      <c r="B2071" s="0" t="s">
        <v>4877</v>
      </c>
      <c r="C2071" s="0" t="s">
        <v>1946</v>
      </c>
      <c r="D2071" s="0">
        <f dt2D="0" dtr="0">HYPERLINK("https://www.icra.in/Rating/RatingDetails?CompanyId=0&amp;CompanyName=Sentini Hospitals Private Limited", "Rationale")</f>
        <v/>
      </c>
    </row>
    <row r="2072">
      <c r="A2072" s="0" t="s">
        <v>4878</v>
      </c>
      <c r="B2072" s="0" t="s">
        <v>4879</v>
      </c>
      <c r="C2072" s="0" t="s">
        <v>103</v>
      </c>
      <c r="D2072" s="0">
        <f dt2D="0" dtr="0">HYPERLINK("https://www.icra.in/Rating/RatingDetails?CompanyId=0&amp;CompanyName=Sepal Ceramic", "Rationale")</f>
        <v/>
      </c>
    </row>
    <row r="2073">
      <c r="A2073" s="0" t="s">
        <v>4880</v>
      </c>
      <c r="B2073" s="0" t="s">
        <v>4881</v>
      </c>
      <c r="C2073" s="0" t="s">
        <v>71</v>
      </c>
      <c r="D2073" s="0">
        <f dt2D="0" dtr="0">HYPERLINK("https://www.icra.in/Rating/RatingDetails?CompanyId=0&amp;CompanyName=Sepal Tiles Private Limited", "Rationale")</f>
        <v/>
      </c>
    </row>
    <row r="2074">
      <c r="A2074" s="0" t="s">
        <v>4882</v>
      </c>
      <c r="B2074" s="0" t="s">
        <v>4883</v>
      </c>
      <c r="C2074" s="0" t="s">
        <v>211</v>
      </c>
      <c r="D2074" s="0">
        <f dt2D="0" dtr="0">HYPERLINK("https://www.icra.in/Rating/RatingDetails?CompanyId=0&amp;CompanyName=Servocontrols and Hydraulics (I) Private Limited", "Rationale")</f>
        <v/>
      </c>
    </row>
    <row r="2075">
      <c r="A2075" s="0" t="s">
        <v>4884</v>
      </c>
      <c r="B2075" s="0" t="s">
        <v>4885</v>
      </c>
      <c r="C2075" s="0" t="s">
        <v>27</v>
      </c>
      <c r="D2075" s="0">
        <f dt2D="0" dtr="0">HYPERLINK("https://www.icra.in/Rating/RatingDetails?CompanyId=0&amp;CompanyName=Sesa Minerals Limited", "Rationale")</f>
        <v/>
      </c>
    </row>
    <row r="2076">
      <c r="A2076" s="0" t="s">
        <v>4886</v>
      </c>
      <c r="B2076" s="0" t="s">
        <v>4887</v>
      </c>
      <c r="C2076" s="0" t="s">
        <v>71</v>
      </c>
      <c r="D2076" s="0">
        <f dt2D="0" dtr="0">HYPERLINK("https://www.icra.in/Rating/RatingDetails?CompanyId=0&amp;CompanyName=Sesha Sai Cotton Company", "Rationale")</f>
        <v/>
      </c>
    </row>
    <row r="2077">
      <c r="A2077" s="0" t="s">
        <v>4888</v>
      </c>
      <c r="B2077" s="0" t="s">
        <v>4889</v>
      </c>
      <c r="C2077" s="0" t="s">
        <v>907</v>
      </c>
      <c r="D2077" s="0">
        <f dt2D="0" dtr="0">HYPERLINK("https://www.icra.in/Rating/RatingDetails?CompanyId=0&amp;CompanyName=Seth Ramji Das Modi Vidya Niketan Society", "Rationale")</f>
        <v/>
      </c>
    </row>
    <row r="2078">
      <c r="A2078" s="0" t="s">
        <v>4890</v>
      </c>
      <c r="B2078" s="0" t="s">
        <v>4891</v>
      </c>
      <c r="C2078" s="0" t="s">
        <v>165</v>
      </c>
      <c r="D2078" s="0">
        <f dt2D="0" dtr="0">HYPERLINK("https://www.icra.in/Rating/RatingDetails?CompanyId=0&amp;CompanyName=Seth Roshan Lal Jain Trust", "Rationale")</f>
        <v/>
      </c>
    </row>
    <row r="2079">
      <c r="A2079" s="0" t="s">
        <v>4892</v>
      </c>
      <c r="B2079" s="0" t="s">
        <v>4893</v>
      </c>
      <c r="C2079" s="0" t="s">
        <v>3435</v>
      </c>
      <c r="D2079" s="0">
        <f dt2D="0" dtr="0">HYPERLINK("https://www.icra.in/Rating/RatingDetails?CompanyId=0&amp;CompanyName=Seven Sky Entertainment Pvt. Ltd.", "Rationale")</f>
        <v/>
      </c>
    </row>
    <row r="2080">
      <c r="A2080" s="0" t="s">
        <v>4894</v>
      </c>
      <c r="B2080" s="0" t="s">
        <v>4895</v>
      </c>
      <c r="C2080" s="0" t="s">
        <v>71</v>
      </c>
      <c r="D2080" s="0">
        <f dt2D="0" dtr="0">HYPERLINK("https://www.icra.in/Rating/RatingDetails?CompanyId=0&amp;CompanyName=Sevoke Motors Private Limited", "Rationale")</f>
        <v/>
      </c>
    </row>
    <row r="2081">
      <c r="A2081" s="0" t="s">
        <v>4896</v>
      </c>
      <c r="B2081" s="0" t="s">
        <v>4897</v>
      </c>
      <c r="C2081" s="0" t="s">
        <v>4898</v>
      </c>
      <c r="D2081" s="0">
        <f dt2D="0" dtr="0">HYPERLINK("https://www.icra.in/Rating/RatingDetails?CompanyId=0&amp;CompanyName=SH INFRATECH PRIVATE LIMITED", "Rationale")</f>
        <v/>
      </c>
    </row>
    <row r="2082">
      <c r="A2082" s="0" t="s">
        <v>4899</v>
      </c>
      <c r="B2082" s="0" t="s">
        <v>4900</v>
      </c>
      <c r="C2082" s="0" t="s">
        <v>4901</v>
      </c>
      <c r="D2082" s="0">
        <f dt2D="0" dtr="0">HYPERLINK("https://www.icra.in/Rating/RatingDetails?CompanyId=0&amp;CompanyName=Shaarc Projects Limited", "Rationale")</f>
        <v/>
      </c>
    </row>
    <row r="2083">
      <c r="A2083" s="0" t="s">
        <v>4902</v>
      </c>
      <c r="B2083" s="0" t="s">
        <v>4903</v>
      </c>
      <c r="C2083" s="0" t="s">
        <v>989</v>
      </c>
      <c r="D2083" s="0">
        <f dt2D="0" dtr="0">HYPERLINK("https://www.icra.in/Rating/RatingDetails?CompanyId=0&amp;CompanyName=Shadiram &amp; Sons Pvt. Ltd.", "Rationale")</f>
        <v/>
      </c>
    </row>
    <row r="2084">
      <c r="A2084" s="0" t="s">
        <v>4904</v>
      </c>
      <c r="B2084" s="0" t="s">
        <v>4905</v>
      </c>
      <c r="C2084" s="0" t="s">
        <v>405</v>
      </c>
      <c r="D2084" s="0">
        <f dt2D="0" dtr="0">HYPERLINK("https://www.icra.in/Rating/RatingDetails?CompanyId=0&amp;CompanyName=Shadnagar Municipality", "Rationale")</f>
        <v/>
      </c>
    </row>
    <row r="2085">
      <c r="A2085" s="0" t="s">
        <v>4906</v>
      </c>
      <c r="B2085" s="0" t="s">
        <v>4907</v>
      </c>
      <c r="C2085" s="0" t="s">
        <v>1182</v>
      </c>
      <c r="D2085" s="0">
        <f dt2D="0" dtr="0">HYPERLINK("https://www.icra.in/Rating/RatingDetails?CompanyId=0&amp;CompanyName=Shaf Broadcast Private Limited", "Rationale")</f>
        <v/>
      </c>
    </row>
    <row r="2086">
      <c r="A2086" s="0" t="s">
        <v>4908</v>
      </c>
      <c r="B2086" s="0" t="s">
        <v>4909</v>
      </c>
      <c r="C2086" s="0" t="s">
        <v>679</v>
      </c>
      <c r="D2086" s="0">
        <f dt2D="0" dtr="0">HYPERLINK("https://www.icra.in/Rating/RatingDetails?CompanyId=0&amp;CompanyName=Shah Technical Consultants Private Limited", "Rationale")</f>
        <v/>
      </c>
    </row>
    <row r="2087">
      <c r="A2087" s="0" t="s">
        <v>4910</v>
      </c>
      <c r="B2087" s="0" t="s">
        <v>4911</v>
      </c>
      <c r="C2087" s="0" t="s">
        <v>71</v>
      </c>
      <c r="D2087" s="0">
        <f dt2D="0" dtr="0">HYPERLINK("https://www.icra.in/Rating/RatingDetails?CompanyId=0&amp;CompanyName=Shah Tiles Private Limited", "Rationale")</f>
        <v/>
      </c>
    </row>
    <row r="2088">
      <c r="A2088" s="0" t="s">
        <v>4912</v>
      </c>
      <c r="B2088" s="0" t="s">
        <v>4913</v>
      </c>
      <c r="C2088" s="0" t="s">
        <v>247</v>
      </c>
      <c r="D2088" s="0">
        <f dt2D="0" dtr="0">HYPERLINK("https://www.icra.in/Rating/RatingDetails?CompanyId=0&amp;CompanyName=Shakti Cables Private Limited", "Rationale")</f>
        <v/>
      </c>
    </row>
    <row r="2089">
      <c r="A2089" s="0" t="s">
        <v>4914</v>
      </c>
      <c r="B2089" s="0" t="s">
        <v>4915</v>
      </c>
      <c r="C2089" s="0" t="s">
        <v>4916</v>
      </c>
      <c r="D2089" s="0">
        <f dt2D="0" dtr="0">HYPERLINK("https://www.icra.in/Rating/RatingDetails?CompanyId=0&amp;CompanyName=Shakti Hormann Private Limited", "Rationale")</f>
        <v/>
      </c>
    </row>
    <row r="2090">
      <c r="A2090" s="0" t="s">
        <v>4917</v>
      </c>
      <c r="B2090" s="0" t="s">
        <v>4918</v>
      </c>
      <c r="C2090" s="0" t="s">
        <v>2292</v>
      </c>
      <c r="D2090" s="0">
        <f dt2D="0" dtr="0">HYPERLINK("https://www.icra.in/Rating/RatingDetails?CompanyId=0&amp;CompanyName=Shakti Polytex Private Limited", "Rationale")</f>
        <v/>
      </c>
    </row>
    <row r="2091">
      <c r="A2091" s="0" t="s">
        <v>4919</v>
      </c>
      <c r="B2091" s="0" t="s">
        <v>4920</v>
      </c>
      <c r="C2091" s="0" t="s">
        <v>4921</v>
      </c>
      <c r="D2091" s="0">
        <f dt2D="0" dtr="0">HYPERLINK("https://www.icra.in/Rating/RatingDetails?CompanyId=0&amp;CompanyName=Shakumbhari Expo-Impo Limited", "Rationale")</f>
        <v/>
      </c>
    </row>
    <row r="2092">
      <c r="A2092" s="0" t="s">
        <v>4922</v>
      </c>
      <c r="B2092" s="0" t="s">
        <v>4923</v>
      </c>
      <c r="C2092" s="0" t="s">
        <v>2223</v>
      </c>
      <c r="D2092" s="0">
        <f dt2D="0" dtr="0">HYPERLINK("https://www.icra.in/Rating/RatingDetails?CompanyId=0&amp;CompanyName=Shakumbhri Pulp &amp; Paper Mills Limited", "Rationale")</f>
        <v/>
      </c>
    </row>
    <row r="2093">
      <c r="A2093" s="0" t="s">
        <v>4924</v>
      </c>
      <c r="B2093" s="0" t="s">
        <v>4925</v>
      </c>
      <c r="C2093" s="0" t="s">
        <v>1888</v>
      </c>
      <c r="D2093" s="0">
        <f dt2D="0" dtr="0">HYPERLINK("https://www.icra.in/Rating/RatingDetails?CompanyId=0&amp;CompanyName=Shallow Ceramic Pvt. Ltd.", "Rationale")</f>
        <v/>
      </c>
    </row>
    <row r="2094">
      <c r="A2094" s="0" t="s">
        <v>4926</v>
      </c>
      <c r="B2094" s="0" t="s">
        <v>4927</v>
      </c>
      <c r="C2094" s="0" t="s">
        <v>39</v>
      </c>
      <c r="D2094" s="0">
        <f dt2D="0" dtr="0">HYPERLINK("https://www.icra.in/Rating/RatingDetails?CompanyId=0&amp;CompanyName=Shamli Steels Private Limited", "Rationale")</f>
        <v/>
      </c>
    </row>
    <row r="2095">
      <c r="A2095" s="0" t="s">
        <v>4928</v>
      </c>
      <c r="B2095" s="0" t="s">
        <v>4929</v>
      </c>
      <c r="C2095" s="0" t="s">
        <v>492</v>
      </c>
      <c r="D2095" s="0">
        <f dt2D="0" dtr="0">HYPERLINK("https://www.icra.in/Rating/RatingDetails?CompanyId=0&amp;CompanyName=Shangri-La Industries Private Limited", "Rationale")</f>
        <v/>
      </c>
    </row>
    <row r="2096">
      <c r="A2096" s="0" t="s">
        <v>4930</v>
      </c>
      <c r="B2096" s="0" t="s">
        <v>4931</v>
      </c>
      <c r="C2096" s="0" t="s">
        <v>1516</v>
      </c>
      <c r="D2096" s="0">
        <f dt2D="0" dtr="0">HYPERLINK("https://www.icra.in/Rating/RatingDetails?CompanyId=0&amp;CompanyName=Shankar Parvati Industries", "Rationale")</f>
        <v/>
      </c>
    </row>
    <row r="2097">
      <c r="A2097" s="0" t="s">
        <v>4932</v>
      </c>
      <c r="B2097" s="0" t="s">
        <v>4933</v>
      </c>
      <c r="C2097" s="0" t="s">
        <v>346</v>
      </c>
      <c r="D2097" s="0">
        <f dt2D="0" dtr="0">HYPERLINK("https://www.icra.in/Rating/RatingDetails?CompanyId=0&amp;CompanyName=Shankar Rice &amp; Gen. Mills", "Rationale")</f>
        <v/>
      </c>
    </row>
    <row r="2098">
      <c r="A2098" s="0" t="s">
        <v>4934</v>
      </c>
      <c r="B2098" s="0" t="s">
        <v>4935</v>
      </c>
      <c r="C2098" s="0" t="s">
        <v>36</v>
      </c>
      <c r="D2098" s="0">
        <f dt2D="0" dtr="0">HYPERLINK("https://www.icra.in/Rating/RatingDetails?CompanyId=0&amp;CompanyName=Shankar Rice Mill", "Rationale")</f>
        <v/>
      </c>
    </row>
    <row r="2099">
      <c r="A2099" s="0" t="s">
        <v>4936</v>
      </c>
      <c r="B2099" s="0" t="s">
        <v>4937</v>
      </c>
      <c r="C2099" s="0" t="s">
        <v>4113</v>
      </c>
      <c r="D2099" s="0">
        <f dt2D="0" dtr="0">HYPERLINK("https://www.icra.in/Rating/RatingDetails?CompanyId=0&amp;CompanyName=Shankara Vehicles Pvt. Ltd.", "Rationale")</f>
        <v/>
      </c>
    </row>
    <row r="2100">
      <c r="A2100" s="0" t="s">
        <v>4938</v>
      </c>
      <c r="B2100" s="0" t="s">
        <v>4939</v>
      </c>
      <c r="C2100" s="0" t="s">
        <v>1111</v>
      </c>
      <c r="D2100" s="0">
        <f dt2D="0" dtr="0">HYPERLINK("https://www.icra.in/Rating/RatingDetails?CompanyId=0&amp;CompanyName=Shankaranarayan Jewellers", "Rationale")</f>
        <v/>
      </c>
    </row>
    <row r="2101">
      <c r="A2101" s="0" t="s">
        <v>4940</v>
      </c>
      <c r="B2101" s="0" t="s">
        <v>4941</v>
      </c>
      <c r="C2101" s="0" t="s">
        <v>4942</v>
      </c>
      <c r="D2101" s="0">
        <f dt2D="0" dtr="0">HYPERLINK("https://www.icra.in/Rating/RatingDetails?CompanyId=0&amp;CompanyName=Shankha Deep Exports Pvt. Ltd.", "Rationale")</f>
        <v/>
      </c>
    </row>
    <row r="2102">
      <c r="A2102" s="0" t="s">
        <v>4943</v>
      </c>
      <c r="B2102" s="0" t="s">
        <v>4944</v>
      </c>
      <c r="C2102" s="0" t="s">
        <v>71</v>
      </c>
      <c r="D2102" s="0">
        <f dt2D="0" dtr="0">HYPERLINK("https://www.icra.in/Rating/RatingDetails?CompanyId=0&amp;CompanyName=Shantai Exim Limited", "Rationale")</f>
        <v/>
      </c>
    </row>
    <row r="2103">
      <c r="A2103" s="0" t="s">
        <v>4945</v>
      </c>
      <c r="B2103" s="0" t="s">
        <v>4946</v>
      </c>
      <c r="C2103" s="0" t="s">
        <v>1355</v>
      </c>
      <c r="D2103" s="0">
        <f dt2D="0" dtr="0">HYPERLINK("https://www.icra.in/Rating/RatingDetails?CompanyId=0&amp;CompanyName=Shantesha Motors Private Limited", "Rationale")</f>
        <v/>
      </c>
    </row>
    <row r="2104">
      <c r="A2104" s="0" t="s">
        <v>4947</v>
      </c>
      <c r="B2104" s="0" t="s">
        <v>4948</v>
      </c>
      <c r="C2104" s="0" t="s">
        <v>4530</v>
      </c>
      <c r="D2104" s="0">
        <f dt2D="0" dtr="0">HYPERLINK("https://www.icra.in/Rating/RatingDetails?CompanyId=0&amp;CompanyName=Shantha Trust", "Rationale")</f>
        <v/>
      </c>
    </row>
    <row r="2105">
      <c r="A2105" s="0" t="s">
        <v>4949</v>
      </c>
      <c r="B2105" s="0" t="s">
        <v>4950</v>
      </c>
      <c r="C2105" s="0" t="s">
        <v>2106</v>
      </c>
      <c r="D2105" s="0">
        <f dt2D="0" dtr="0">HYPERLINK("https://www.icra.in/Rating/RatingDetails?CompanyId=0&amp;CompanyName=Shanti Educational Trust", "Rationale")</f>
        <v/>
      </c>
    </row>
    <row r="2106">
      <c r="A2106" s="0" t="s">
        <v>4951</v>
      </c>
      <c r="B2106" s="0" t="s">
        <v>4952</v>
      </c>
      <c r="C2106" s="0" t="s">
        <v>74</v>
      </c>
      <c r="D2106" s="0">
        <f dt2D="0" dtr="0">HYPERLINK("https://www.icra.in/Rating/RatingDetails?CompanyId=0&amp;CompanyName=Shanti Gopal Concast Limited", "Rationale")</f>
        <v/>
      </c>
    </row>
    <row r="2107">
      <c r="A2107" s="0" t="s">
        <v>4953</v>
      </c>
      <c r="B2107" s="0" t="s">
        <v>4954</v>
      </c>
      <c r="C2107" s="0" t="s">
        <v>2210</v>
      </c>
      <c r="D2107" s="0">
        <f dt2D="0" dtr="0">HYPERLINK("https://www.icra.in/Rating/RatingDetails?CompanyId=0&amp;CompanyName=Shanti Parboiling Industries", "Rationale")</f>
        <v/>
      </c>
    </row>
    <row r="2108">
      <c r="A2108" s="0" t="s">
        <v>4955</v>
      </c>
      <c r="B2108" s="0" t="s">
        <v>4956</v>
      </c>
      <c r="C2108" s="0" t="s">
        <v>4957</v>
      </c>
      <c r="D2108" s="0">
        <f dt2D="0" dtr="0">HYPERLINK("https://www.icra.in/Rating/RatingDetails?CompanyId=0&amp;CompanyName=Sharanamma Diggavi Memorial Educational Trust", "Rationale")</f>
        <v/>
      </c>
    </row>
    <row r="2109">
      <c r="A2109" s="0" t="s">
        <v>4958</v>
      </c>
      <c r="B2109" s="0" t="s">
        <v>4959</v>
      </c>
      <c r="C2109" s="0" t="s">
        <v>317</v>
      </c>
      <c r="D2109" s="0">
        <f dt2D="0" dtr="0">HYPERLINK("https://www.icra.in/Rating/RatingDetails?CompanyId=0&amp;CompanyName=Sharda Timbers", "Rationale")</f>
        <v/>
      </c>
    </row>
    <row r="2110">
      <c r="A2110" s="0" t="s">
        <v>4960</v>
      </c>
      <c r="B2110" s="0" t="s">
        <v>4961</v>
      </c>
      <c r="C2110" s="0" t="s">
        <v>534</v>
      </c>
      <c r="D2110" s="0">
        <f dt2D="0" dtr="0">HYPERLINK("https://www.icra.in/Rating/RatingDetails?CompanyId=0&amp;CompanyName=Sharp Travels (India) Limited", "Rationale")</f>
        <v/>
      </c>
    </row>
    <row r="2111">
      <c r="A2111" s="0" t="s">
        <v>4962</v>
      </c>
      <c r="B2111" s="0" t="s">
        <v>4963</v>
      </c>
      <c r="C2111" s="0" t="s">
        <v>1397</v>
      </c>
      <c r="D2111" s="0">
        <f dt2D="0" dtr="0">HYPERLINK("https://www.icra.in/Rating/RatingDetails?CompanyId=0&amp;CompanyName=Sharpline Automation Private Limited", "Rationale")</f>
        <v/>
      </c>
    </row>
    <row r="2112">
      <c r="A2112" s="0" t="s">
        <v>4964</v>
      </c>
      <c r="B2112" s="0" t="s">
        <v>4965</v>
      </c>
      <c r="C2112" s="0" t="s">
        <v>278</v>
      </c>
      <c r="D2112" s="0">
        <f dt2D="0" dtr="0">HYPERLINK("https://www.icra.in/Rating/RatingDetails?CompanyId=0&amp;CompanyName=Sharu Steels (P) Ltd.", "Rationale")</f>
        <v/>
      </c>
    </row>
    <row r="2113">
      <c r="A2113" s="0" t="s">
        <v>4966</v>
      </c>
      <c r="B2113" s="0" t="s">
        <v>4967</v>
      </c>
      <c r="C2113" s="0" t="s">
        <v>129</v>
      </c>
      <c r="D2113" s="0">
        <f dt2D="0" dtr="0">HYPERLINK("https://www.icra.in/Rating/RatingDetails?CompanyId=0&amp;CompanyName=Sheel Diamond Exports Private Limited", "Rationale")</f>
        <v/>
      </c>
    </row>
    <row r="2114">
      <c r="A2114" s="0" t="s">
        <v>4968</v>
      </c>
      <c r="B2114" s="0" t="s">
        <v>4969</v>
      </c>
      <c r="C2114" s="0" t="s">
        <v>129</v>
      </c>
      <c r="D2114" s="0">
        <f dt2D="0" dtr="0">HYPERLINK("https://www.icra.in/Rating/RatingDetails?CompanyId=0&amp;CompanyName=Sheel Gems", "Rationale")</f>
        <v/>
      </c>
    </row>
    <row r="2115">
      <c r="A2115" s="0" t="s">
        <v>4970</v>
      </c>
      <c r="B2115" s="0" t="s">
        <v>4971</v>
      </c>
      <c r="C2115" s="0" t="s">
        <v>4972</v>
      </c>
      <c r="D2115" s="0">
        <f dt2D="0" dtr="0">HYPERLINK("https://www.icra.in/Rating/RatingDetails?CompanyId=0&amp;CompanyName=Sheen Agri Fresh Private Limited", "Rationale")</f>
        <v/>
      </c>
    </row>
    <row r="2116">
      <c r="A2116" s="0" t="s">
        <v>4973</v>
      </c>
      <c r="B2116" s="0" t="s">
        <v>4974</v>
      </c>
      <c r="C2116" s="0" t="s">
        <v>4975</v>
      </c>
      <c r="D2116" s="0">
        <f dt2D="0" dtr="0">HYPERLINK("https://www.icra.in/Rating/RatingDetails?CompanyId=0&amp;CompanyName=Shell Apparels Private Limited", "Rationale")</f>
        <v/>
      </c>
    </row>
    <row r="2117">
      <c r="A2117" s="0" t="s">
        <v>4976</v>
      </c>
      <c r="B2117" s="0" t="s">
        <v>4977</v>
      </c>
      <c r="C2117" s="0" t="s">
        <v>4133</v>
      </c>
      <c r="D2117" s="0">
        <f dt2D="0" dtr="0">HYPERLINK("https://www.icra.in/Rating/RatingDetails?CompanyId=0&amp;CompanyName=Sheth Ship Breaking Corporation", "Rationale")</f>
        <v/>
      </c>
    </row>
    <row r="2118">
      <c r="A2118" s="0" t="s">
        <v>4978</v>
      </c>
      <c r="B2118" s="0" t="s">
        <v>4979</v>
      </c>
      <c r="C2118" s="0" t="s">
        <v>1742</v>
      </c>
      <c r="D2118" s="0">
        <f dt2D="0" dtr="0">HYPERLINK("https://www.icra.in/Rating/RatingDetails?CompanyId=0&amp;CompanyName=Shiga Energy Private Limited", "Rationale")</f>
        <v/>
      </c>
    </row>
    <row r="2119">
      <c r="A2119" s="0" t="s">
        <v>4980</v>
      </c>
      <c r="B2119" s="0" t="s">
        <v>4981</v>
      </c>
      <c r="C2119" s="0" t="s">
        <v>1305</v>
      </c>
      <c r="D2119" s="0">
        <f dt2D="0" dtr="0">HYPERLINK("https://www.icra.in/Rating/RatingDetails?CompanyId=0&amp;CompanyName=Shilpi Cable Technologies Limited", "Rationale")</f>
        <v/>
      </c>
    </row>
    <row r="2120">
      <c r="A2120" s="0" t="s">
        <v>4982</v>
      </c>
      <c r="B2120" s="0" t="s">
        <v>4983</v>
      </c>
      <c r="C2120" s="0" t="s">
        <v>1764</v>
      </c>
      <c r="D2120" s="0">
        <f dt2D="0" dtr="0">HYPERLINK("https://www.icra.in/Rating/RatingDetails?CompanyId=0&amp;CompanyName=Shimla Tolls and Projects Pvt. Ltd.", "Rationale")</f>
        <v/>
      </c>
    </row>
    <row r="2121">
      <c r="A2121" s="0" t="s">
        <v>4984</v>
      </c>
      <c r="B2121" s="0" t="s">
        <v>4985</v>
      </c>
      <c r="C2121" s="0" t="s">
        <v>68</v>
      </c>
      <c r="D2121" s="0">
        <f dt2D="0" dtr="0">HYPERLINK("https://www.icra.in/Rating/RatingDetails?CompanyId=0&amp;CompanyName=Shirdiwale Sai Exim Private Limited", "Rationale")</f>
        <v/>
      </c>
    </row>
    <row r="2122">
      <c r="A2122" s="0" t="s">
        <v>4986</v>
      </c>
      <c r="B2122" s="0" t="s">
        <v>4987</v>
      </c>
      <c r="C2122" s="0" t="s">
        <v>410</v>
      </c>
      <c r="D2122" s="0">
        <f dt2D="0" dtr="0">HYPERLINK("https://www.icra.in/Rating/RatingDetails?CompanyId=0&amp;CompanyName=Shirpur-Warvade Municipal Council", "Rationale")</f>
        <v/>
      </c>
    </row>
    <row r="2123">
      <c r="A2123" s="0" t="s">
        <v>4988</v>
      </c>
      <c r="B2123" s="0" t="s">
        <v>4989</v>
      </c>
      <c r="C2123" s="0" t="s">
        <v>929</v>
      </c>
      <c r="D2123" s="0">
        <f dt2D="0" dtr="0">HYPERLINK("https://www.icra.in/Rating/RatingDetails?CompanyId=0&amp;CompanyName=Shitaram Industries", "Rationale")</f>
        <v/>
      </c>
    </row>
    <row r="2124">
      <c r="A2124" s="0" t="s">
        <v>4990</v>
      </c>
      <c r="B2124" s="0" t="s">
        <v>4991</v>
      </c>
      <c r="C2124" s="0" t="s">
        <v>4992</v>
      </c>
      <c r="D2124" s="0">
        <f dt2D="0" dtr="0">HYPERLINK("https://www.icra.in/Rating/RatingDetails?CompanyId=0&amp;CompanyName=Shiv Biri Manufacturing Co. Private Limited", "Rationale")</f>
        <v/>
      </c>
    </row>
    <row r="2125">
      <c r="A2125" s="0" t="s">
        <v>4993</v>
      </c>
      <c r="B2125" s="0" t="s">
        <v>4994</v>
      </c>
      <c r="C2125" s="0" t="s">
        <v>1541</v>
      </c>
      <c r="D2125" s="0">
        <f dt2D="0" dtr="0">HYPERLINK("https://www.icra.in/Rating/RatingDetails?CompanyId=0&amp;CompanyName=Shiv Cotton Industries- Tankara", "Rationale")</f>
        <v/>
      </c>
    </row>
    <row r="2126">
      <c r="A2126" s="0" t="s">
        <v>4995</v>
      </c>
      <c r="B2126" s="0" t="s">
        <v>4996</v>
      </c>
      <c r="C2126" s="0" t="s">
        <v>4997</v>
      </c>
      <c r="D2126" s="0">
        <f dt2D="0" dtr="0">HYPERLINK("https://www.icra.in/Rating/RatingDetails?CompanyId=0&amp;CompanyName=shiv kripa build estate pvt ltd", "Rationale")</f>
        <v/>
      </c>
    </row>
    <row r="2127">
      <c r="A2127" s="0" t="s">
        <v>4998</v>
      </c>
      <c r="B2127" s="0" t="s">
        <v>4999</v>
      </c>
      <c r="C2127" s="0" t="s">
        <v>3251</v>
      </c>
      <c r="D2127" s="0">
        <f dt2D="0" dtr="0">HYPERLINK("https://www.icra.in/Rating/RatingDetails?CompanyId=0&amp;CompanyName=Shiv Sai Metal Products Private Limited", "Rationale")</f>
        <v/>
      </c>
    </row>
    <row r="2128">
      <c r="A2128" s="0" t="s">
        <v>5000</v>
      </c>
      <c r="B2128" s="0" t="s">
        <v>5001</v>
      </c>
      <c r="C2128" s="0" t="s">
        <v>71</v>
      </c>
      <c r="D2128" s="0">
        <f dt2D="0" dtr="0">HYPERLINK("https://www.icra.in/Rating/RatingDetails?CompanyId=0&amp;CompanyName=Shiv Shakti Enterprise", "Rationale")</f>
        <v/>
      </c>
    </row>
    <row r="2129">
      <c r="A2129" s="0" t="s">
        <v>5002</v>
      </c>
      <c r="B2129" s="0" t="s">
        <v>5003</v>
      </c>
      <c r="C2129" s="0" t="s">
        <v>71</v>
      </c>
      <c r="D2129" s="0">
        <f dt2D="0" dtr="0">HYPERLINK("https://www.icra.in/Rating/RatingDetails?CompanyId=0&amp;CompanyName=Shiv Shakti Industries", "Rationale")</f>
        <v/>
      </c>
    </row>
    <row r="2130">
      <c r="A2130" s="0" t="s">
        <v>5004</v>
      </c>
      <c r="B2130" s="0" t="s">
        <v>5005</v>
      </c>
      <c r="C2130" s="0" t="s">
        <v>1123</v>
      </c>
      <c r="D2130" s="0">
        <f dt2D="0" dtr="0">HYPERLINK("https://www.icra.in/Rating/RatingDetails?CompanyId=0&amp;CompanyName=Shiv Vegpro Private Limited", "Rationale")</f>
        <v/>
      </c>
    </row>
    <row r="2131">
      <c r="A2131" s="0" t="s">
        <v>5006</v>
      </c>
      <c r="B2131" s="0" t="s">
        <v>5007</v>
      </c>
      <c r="C2131" s="0" t="s">
        <v>1212</v>
      </c>
      <c r="D2131" s="0">
        <f dt2D="0" dtr="0">HYPERLINK("https://www.icra.in/Rating/RatingDetails?CompanyId=0&amp;CompanyName=Shiva Ferric Pvt Ltd", "Rationale")</f>
        <v/>
      </c>
    </row>
    <row r="2132">
      <c r="A2132" s="0" t="s">
        <v>5008</v>
      </c>
      <c r="B2132" s="0" t="s">
        <v>5009</v>
      </c>
      <c r="C2132" s="0" t="s">
        <v>492</v>
      </c>
      <c r="D2132" s="0">
        <f dt2D="0" dtr="0">HYPERLINK("https://www.icra.in/Rating/RatingDetails?CompanyId=0&amp;CompanyName=Shiva Polytubes Pvt. Ltd.", "Rationale")</f>
        <v/>
      </c>
    </row>
    <row r="2133">
      <c r="A2133" s="0" t="s">
        <v>5010</v>
      </c>
      <c r="B2133" s="0" t="s">
        <v>5011</v>
      </c>
      <c r="C2133" s="0" t="s">
        <v>71</v>
      </c>
      <c r="D2133" s="0">
        <f dt2D="0" dtr="0">HYPERLINK("https://www.icra.in/Rating/RatingDetails?CompanyId=0&amp;CompanyName=Shiva Structures Pvt Ltd", "Rationale")</f>
        <v/>
      </c>
    </row>
    <row r="2134">
      <c r="A2134" s="0" t="s">
        <v>5012</v>
      </c>
      <c r="B2134" s="0" t="s">
        <v>5013</v>
      </c>
      <c r="C2134" s="0" t="s">
        <v>500</v>
      </c>
      <c r="D2134" s="0">
        <f dt2D="0" dtr="0">HYPERLINK("https://www.icra.in/Rating/RatingDetails?CompanyId=0&amp;CompanyName=Shivalaya Bhandara Highways Private Limited", "Rationale")</f>
        <v/>
      </c>
    </row>
    <row r="2135">
      <c r="A2135" s="0" t="s">
        <v>5014</v>
      </c>
      <c r="B2135" s="0" t="s">
        <v>5013</v>
      </c>
      <c r="C2135" s="0" t="s">
        <v>5015</v>
      </c>
      <c r="D2135" s="0">
        <f dt2D="0" dtr="0">HYPERLINK("https://www.icra.in/Rating/RatingDetails?CompanyId=0&amp;CompanyName=Shivalaya Bhandara Highways Private Limited", "Rationale")</f>
        <v/>
      </c>
    </row>
    <row r="2136">
      <c r="A2136" s="0" t="s">
        <v>5016</v>
      </c>
      <c r="B2136" s="0" t="s">
        <v>5017</v>
      </c>
      <c r="C2136" s="0" t="s">
        <v>500</v>
      </c>
      <c r="D2136" s="0">
        <f dt2D="0" dtr="0">HYPERLINK("https://www.icra.in/Rating/RatingDetails?CompanyId=0&amp;CompanyName=Shivalaya Nagpur Highways Private Limited", "Rationale")</f>
        <v/>
      </c>
    </row>
    <row r="2137">
      <c r="A2137" s="0" t="s">
        <v>5018</v>
      </c>
      <c r="B2137" s="0" t="s">
        <v>5017</v>
      </c>
      <c r="C2137" s="0" t="s">
        <v>5015</v>
      </c>
      <c r="D2137" s="0">
        <f dt2D="0" dtr="0">HYPERLINK("https://www.icra.in/Rating/RatingDetails?CompanyId=0&amp;CompanyName=Shivalaya Nagpur Highways Private Limited", "Rationale")</f>
        <v/>
      </c>
    </row>
    <row r="2138">
      <c r="A2138" s="0" t="s">
        <v>5019</v>
      </c>
      <c r="B2138" s="0" t="s">
        <v>5020</v>
      </c>
      <c r="C2138" s="0" t="s">
        <v>1541</v>
      </c>
      <c r="D2138" s="0">
        <f dt2D="0" dtr="0">HYPERLINK("https://www.icra.in/Rating/RatingDetails?CompanyId=0&amp;CompanyName=Shivam Concrete Technology &amp; Consultancy Pvt. Ltd.", "Rationale")</f>
        <v/>
      </c>
    </row>
    <row r="2139">
      <c r="A2139" s="0" t="s">
        <v>5021</v>
      </c>
      <c r="B2139" s="0" t="s">
        <v>5022</v>
      </c>
      <c r="C2139" s="0" t="s">
        <v>5023</v>
      </c>
      <c r="D2139" s="0">
        <f dt2D="0" dtr="0">HYPERLINK("https://www.icra.in/Rating/RatingDetails?CompanyId=0&amp;CompanyName=Shivam Cottex", "Rationale")</f>
        <v/>
      </c>
    </row>
    <row r="2140">
      <c r="A2140" s="0" t="s">
        <v>5024</v>
      </c>
      <c r="B2140" s="0" t="s">
        <v>5025</v>
      </c>
      <c r="C2140" s="0" t="s">
        <v>71</v>
      </c>
      <c r="D2140" s="0">
        <f dt2D="0" dtr="0">HYPERLINK("https://www.icra.in/Rating/RatingDetails?CompanyId=0&amp;CompanyName=Shivam Hi Tech Steels Pvt. Ltd", "Rationale")</f>
        <v/>
      </c>
    </row>
    <row r="2141">
      <c r="A2141" s="0" t="s">
        <v>5026</v>
      </c>
      <c r="B2141" s="0" t="s">
        <v>5027</v>
      </c>
      <c r="C2141" s="0" t="s">
        <v>522</v>
      </c>
      <c r="D2141" s="0">
        <f dt2D="0" dtr="0">HYPERLINK("https://www.icra.in/Rating/RatingDetails?CompanyId=0&amp;CompanyName=Shivam Motors Private Limited", "Rationale")</f>
        <v/>
      </c>
    </row>
    <row r="2142">
      <c r="A2142" s="0" t="s">
        <v>5028</v>
      </c>
      <c r="B2142" s="0" t="s">
        <v>5029</v>
      </c>
      <c r="C2142" s="0" t="s">
        <v>4113</v>
      </c>
      <c r="D2142" s="0">
        <f dt2D="0" dtr="0">HYPERLINK("https://www.icra.in/Rating/RatingDetails?CompanyId=0&amp;CompanyName=Shivam Pipe Industries", "Rationale")</f>
        <v/>
      </c>
    </row>
    <row r="2143">
      <c r="A2143" s="0" t="s">
        <v>5030</v>
      </c>
      <c r="B2143" s="0" t="s">
        <v>5031</v>
      </c>
      <c r="C2143" s="0" t="s">
        <v>71</v>
      </c>
      <c r="D2143" s="0">
        <f dt2D="0" dtr="0">HYPERLINK("https://www.icra.in/Rating/RatingDetails?CompanyId=0&amp;CompanyName=Shivam Transport Company", "Rationale")</f>
        <v/>
      </c>
    </row>
    <row r="2144">
      <c r="A2144" s="0" t="s">
        <v>5032</v>
      </c>
      <c r="B2144" s="0" t="s">
        <v>5033</v>
      </c>
      <c r="C2144" s="0" t="s">
        <v>1209</v>
      </c>
      <c r="D2144" s="0">
        <f dt2D="0" dtr="0">HYPERLINK("https://www.icra.in/Rating/RatingDetails?CompanyId=0&amp;CompanyName=Shivangan Food and Pharma Products Private Limited", "Rationale")</f>
        <v/>
      </c>
    </row>
    <row r="2145">
      <c r="A2145" s="0" t="s">
        <v>5034</v>
      </c>
      <c r="B2145" s="0" t="s">
        <v>5035</v>
      </c>
      <c r="C2145" s="0" t="s">
        <v>1350</v>
      </c>
      <c r="D2145" s="0">
        <f dt2D="0" dtr="0">HYPERLINK("https://www.icra.in/Rating/RatingDetails?CompanyId=0&amp;CompanyName=Shivay Minerals", "Rationale")</f>
        <v/>
      </c>
    </row>
    <row r="2146">
      <c r="A2146" s="0" t="s">
        <v>5036</v>
      </c>
      <c r="B2146" s="0" t="s">
        <v>5037</v>
      </c>
      <c r="C2146" s="0" t="s">
        <v>1774</v>
      </c>
      <c r="D2146" s="0">
        <f dt2D="0" dtr="0">HYPERLINK("https://www.icra.in/Rating/RatingDetails?CompanyId=0&amp;CompanyName=Shivshakti Realhome Private Limited", "Rationale")</f>
        <v/>
      </c>
    </row>
    <row r="2147">
      <c r="A2147" s="0" t="s">
        <v>5038</v>
      </c>
      <c r="B2147" s="0" t="s">
        <v>5039</v>
      </c>
      <c r="C2147" s="0" t="s">
        <v>534</v>
      </c>
      <c r="D2147" s="0">
        <f dt2D="0" dtr="0">HYPERLINK("https://www.icra.in/Rating/RatingDetails?CompanyId=0&amp;CompanyName=SHL Agro Foods Inc", "Rationale")</f>
        <v/>
      </c>
    </row>
    <row r="2148">
      <c r="A2148" s="0" t="s">
        <v>5040</v>
      </c>
      <c r="B2148" s="0" t="s">
        <v>5041</v>
      </c>
      <c r="C2148" s="0" t="s">
        <v>3198</v>
      </c>
      <c r="D2148" s="0">
        <f dt2D="0" dtr="0">HYPERLINK("https://www.icra.in/Rating/RatingDetails?CompanyId=0&amp;CompanyName=Shm Shipcare Private Limited (Formerly known as Shm Shipcare)", "Rationale")</f>
        <v/>
      </c>
    </row>
    <row r="2149">
      <c r="A2149" s="0" t="s">
        <v>5042</v>
      </c>
      <c r="B2149" s="0" t="s">
        <v>5043</v>
      </c>
      <c r="C2149" s="0" t="s">
        <v>1979</v>
      </c>
      <c r="D2149" s="0">
        <f dt2D="0" dtr="0">HYPERLINK("https://www.icra.in/Rating/RatingDetails?CompanyId=0&amp;CompanyName=Shobhaglobs Engineers Hub Pvt Ltd", "Rationale")</f>
        <v/>
      </c>
    </row>
    <row r="2150">
      <c r="A2150" s="0" t="s">
        <v>5044</v>
      </c>
      <c r="B2150" s="0" t="s">
        <v>5045</v>
      </c>
      <c r="C2150" s="0" t="s">
        <v>1541</v>
      </c>
      <c r="D2150" s="0">
        <f dt2D="0" dtr="0">HYPERLINK("https://www.icra.in/Rating/RatingDetails?CompanyId=0&amp;CompanyName=Showtime Entertainment Private Limited", "Rationale")</f>
        <v/>
      </c>
    </row>
    <row r="2151">
      <c r="A2151" s="0" t="s">
        <v>5046</v>
      </c>
      <c r="B2151" s="0" t="s">
        <v>5047</v>
      </c>
      <c r="C2151" s="0" t="s">
        <v>5048</v>
      </c>
      <c r="D2151" s="0">
        <f dt2D="0" dtr="0">HYPERLINK("https://www.icra.in/Rating/RatingDetails?CompanyId=0&amp;CompanyName=Shraddha Energy and Infraprojects Pvt. Ltd", "Rationale")</f>
        <v/>
      </c>
    </row>
    <row r="2152">
      <c r="A2152" s="0" t="s">
        <v>5049</v>
      </c>
      <c r="B2152" s="0" t="s">
        <v>5050</v>
      </c>
      <c r="C2152" s="0" t="s">
        <v>1151</v>
      </c>
      <c r="D2152" s="0">
        <f dt2D="0" dtr="0">HYPERLINK("https://www.icra.in/Rating/RatingDetails?CompanyId=0&amp;CompanyName=Shraddha Synthetics Private Limited", "Rationale")</f>
        <v/>
      </c>
    </row>
    <row r="2153">
      <c r="A2153" s="0" t="s">
        <v>5051</v>
      </c>
      <c r="B2153" s="0" t="s">
        <v>5052</v>
      </c>
      <c r="C2153" s="0" t="s">
        <v>1335</v>
      </c>
      <c r="D2153" s="0">
        <f dt2D="0" dtr="0">HYPERLINK("https://www.icra.in/Rating/RatingDetails?CompanyId=0&amp;CompanyName=Shree Ambika Sugars Limited", "Rationale")</f>
        <v/>
      </c>
    </row>
    <row r="2154">
      <c r="A2154" s="0" t="s">
        <v>5053</v>
      </c>
      <c r="B2154" s="0" t="s">
        <v>5054</v>
      </c>
      <c r="C2154" s="0" t="s">
        <v>492</v>
      </c>
      <c r="D2154" s="0">
        <f dt2D="0" dtr="0">HYPERLINK("https://www.icra.in/Rating/RatingDetails?CompanyId=0&amp;CompanyName=Shree Balaji Ice and Cold Storage", "Rationale")</f>
        <v/>
      </c>
    </row>
    <row r="2155">
      <c r="A2155" s="0" t="s">
        <v>5055</v>
      </c>
      <c r="B2155" s="0" t="s">
        <v>5056</v>
      </c>
      <c r="C2155" s="0" t="s">
        <v>5057</v>
      </c>
      <c r="D2155" s="0">
        <f dt2D="0" dtr="0">HYPERLINK("https://www.icra.in/Rating/RatingDetails?CompanyId=0&amp;CompanyName=Shree Balaji Plastic", "Rationale")</f>
        <v/>
      </c>
    </row>
    <row r="2156">
      <c r="A2156" s="0" t="s">
        <v>5058</v>
      </c>
      <c r="B2156" s="0" t="s">
        <v>5059</v>
      </c>
      <c r="C2156" s="0" t="s">
        <v>338</v>
      </c>
      <c r="D2156" s="0">
        <f dt2D="0" dtr="0">HYPERLINK("https://www.icra.in/Rating/RatingDetails?CompanyId=0&amp;CompanyName=Shree Bhagwati Agrotech Pvt. Ltd.", "Rationale")</f>
        <v/>
      </c>
    </row>
    <row r="2157">
      <c r="A2157" s="0" t="s">
        <v>5060</v>
      </c>
      <c r="B2157" s="0" t="s">
        <v>5061</v>
      </c>
      <c r="C2157" s="0" t="s">
        <v>1466</v>
      </c>
      <c r="D2157" s="0">
        <f dt2D="0" dtr="0">HYPERLINK("https://www.icra.in/Rating/RatingDetails?CompanyId=0&amp;CompanyName=Shree Bhagyalaxmi Industries", "Rationale")</f>
        <v/>
      </c>
    </row>
    <row r="2158">
      <c r="A2158" s="0" t="s">
        <v>5062</v>
      </c>
      <c r="B2158" s="0" t="s">
        <v>5063</v>
      </c>
      <c r="C2158" s="0" t="s">
        <v>402</v>
      </c>
      <c r="D2158" s="0">
        <f dt2D="0" dtr="0">HYPERLINK("https://www.icra.in/Rating/RatingDetails?CompanyId=0&amp;CompanyName=Shree Bhavani Rice Mill", "Rationale")</f>
        <v/>
      </c>
    </row>
    <row r="2159">
      <c r="A2159" s="0" t="s">
        <v>5064</v>
      </c>
      <c r="B2159" s="0" t="s">
        <v>5065</v>
      </c>
      <c r="C2159" s="0" t="s">
        <v>842</v>
      </c>
      <c r="D2159" s="0">
        <f dt2D="0" dtr="0">HYPERLINK("https://www.icra.in/Rating/RatingDetails?CompanyId=0&amp;CompanyName=Shree Chhatrapati Shahu Milk and Agro Producer Company Limited", "Rationale")</f>
        <v/>
      </c>
    </row>
    <row r="2160">
      <c r="A2160" s="0" t="s">
        <v>5066</v>
      </c>
      <c r="B2160" s="0" t="s">
        <v>5067</v>
      </c>
      <c r="C2160" s="0" t="s">
        <v>5068</v>
      </c>
      <c r="D2160" s="0">
        <f dt2D="0" dtr="0">HYPERLINK("https://www.icra.in/Rating/RatingDetails?CompanyId=0&amp;CompanyName=Shree Cotex", "Rationale")</f>
        <v/>
      </c>
    </row>
    <row r="2161">
      <c r="A2161" s="0" t="s">
        <v>5069</v>
      </c>
      <c r="B2161" s="0" t="s">
        <v>5070</v>
      </c>
      <c r="C2161" s="0" t="s">
        <v>380</v>
      </c>
      <c r="D2161" s="0">
        <f dt2D="0" dtr="0">HYPERLINK("https://www.icra.in/Rating/RatingDetails?CompanyId=0&amp;CompanyName=Shree Ganesh Cotton Industries-Rajkot", "Rationale")</f>
        <v/>
      </c>
    </row>
    <row r="2162">
      <c r="A2162" s="0" t="s">
        <v>5071</v>
      </c>
      <c r="B2162" s="0" t="s">
        <v>5072</v>
      </c>
      <c r="C2162" s="0" t="s">
        <v>3404</v>
      </c>
      <c r="D2162" s="0">
        <f dt2D="0" dtr="0">HYPERLINK("https://www.icra.in/Rating/RatingDetails?CompanyId=0&amp;CompanyName=Shree Gauri Rice Mill Private Limited", "Rationale")</f>
        <v/>
      </c>
    </row>
    <row r="2163">
      <c r="A2163" s="0" t="s">
        <v>5073</v>
      </c>
      <c r="B2163" s="0" t="s">
        <v>5074</v>
      </c>
      <c r="C2163" s="0" t="s">
        <v>1148</v>
      </c>
      <c r="D2163" s="0">
        <f dt2D="0" dtr="0">HYPERLINK("https://www.icra.in/Rating/RatingDetails?CompanyId=0&amp;CompanyName=Shree Gopinathji Agencies", "Rationale")</f>
        <v/>
      </c>
    </row>
    <row r="2164">
      <c r="A2164" s="0" t="s">
        <v>5075</v>
      </c>
      <c r="B2164" s="0" t="s">
        <v>5076</v>
      </c>
      <c r="C2164" s="0" t="s">
        <v>5077</v>
      </c>
      <c r="D2164" s="0">
        <f dt2D="0" dtr="0">HYPERLINK("https://www.icra.in/Rating/RatingDetails?CompanyId=0&amp;CompanyName=Shree Gopinathji Cars Pvt. Ltd.", "Rationale")</f>
        <v/>
      </c>
    </row>
    <row r="2165">
      <c r="A2165" s="0" t="s">
        <v>5078</v>
      </c>
      <c r="B2165" s="0" t="s">
        <v>5079</v>
      </c>
      <c r="C2165" s="0" t="s">
        <v>1607</v>
      </c>
      <c r="D2165" s="0">
        <f dt2D="0" dtr="0">HYPERLINK("https://www.icra.in/Rating/RatingDetails?CompanyId=0&amp;CompanyName=Shree Govardhan Steels Private Limited", "Rationale")</f>
        <v/>
      </c>
    </row>
    <row r="2166">
      <c r="A2166" s="0" t="s">
        <v>5080</v>
      </c>
      <c r="B2166" s="0" t="s">
        <v>5081</v>
      </c>
      <c r="C2166" s="0" t="s">
        <v>514</v>
      </c>
      <c r="D2166" s="0">
        <f dt2D="0" dtr="0">HYPERLINK("https://www.icra.in/Rating/RatingDetails?CompanyId=0&amp;CompanyName=Shree Govindam Prime Foods Pvt. Ltd", "Rationale")</f>
        <v/>
      </c>
    </row>
    <row r="2167">
      <c r="A2167" s="0" t="s">
        <v>5082</v>
      </c>
      <c r="B2167" s="0" t="s">
        <v>5083</v>
      </c>
      <c r="C2167" s="0" t="s">
        <v>278</v>
      </c>
      <c r="D2167" s="0">
        <f dt2D="0" dtr="0">HYPERLINK("https://www.icra.in/Rating/RatingDetails?CompanyId=0&amp;CompanyName=Shree Guru Nanak Dev Rice Mills", "Rationale")</f>
        <v/>
      </c>
    </row>
    <row r="2168">
      <c r="A2168" s="0" t="s">
        <v>5084</v>
      </c>
      <c r="B2168" s="0" t="s">
        <v>5085</v>
      </c>
      <c r="C2168" s="0" t="s">
        <v>958</v>
      </c>
      <c r="D2168" s="0">
        <f dt2D="0" dtr="0">HYPERLINK("https://www.icra.in/Rating/RatingDetails?CompanyId=0&amp;CompanyName=Shree Hans Rice and General Mills", "Rationale")</f>
        <v/>
      </c>
    </row>
    <row r="2169">
      <c r="A2169" s="0" t="s">
        <v>5086</v>
      </c>
      <c r="B2169" s="0" t="s">
        <v>5087</v>
      </c>
      <c r="C2169" s="0" t="s">
        <v>53</v>
      </c>
      <c r="D2169" s="0">
        <f dt2D="0" dtr="0">HYPERLINK("https://www.icra.in/Rating/RatingDetails?CompanyId=0&amp;CompanyName=Shree Hanuman Trust", "Rationale")</f>
        <v/>
      </c>
    </row>
    <row r="2170">
      <c r="A2170" s="0" t="s">
        <v>5088</v>
      </c>
      <c r="B2170" s="0" t="s">
        <v>5089</v>
      </c>
      <c r="C2170" s="0" t="s">
        <v>2516</v>
      </c>
      <c r="D2170" s="0">
        <f dt2D="0" dtr="0">HYPERLINK("https://www.icra.in/Rating/RatingDetails?CompanyId=0&amp;CompanyName=Shree Harikrushna Cotton Industries", "Rationale")</f>
        <v/>
      </c>
    </row>
    <row r="2171">
      <c r="A2171" s="0" t="s">
        <v>5090</v>
      </c>
      <c r="B2171" s="0" t="s">
        <v>5091</v>
      </c>
      <c r="C2171" s="0" t="s">
        <v>3083</v>
      </c>
      <c r="D2171" s="0">
        <f dt2D="0" dtr="0">HYPERLINK("https://www.icra.in/Rating/RatingDetails?CompanyId=0&amp;CompanyName=Shree Jagdamba Poultry Private Limited", "Rationale")</f>
        <v/>
      </c>
    </row>
    <row r="2172">
      <c r="A2172" s="0" t="s">
        <v>5092</v>
      </c>
      <c r="B2172" s="0" t="s">
        <v>5093</v>
      </c>
      <c r="C2172" s="0" t="s">
        <v>71</v>
      </c>
      <c r="D2172" s="0">
        <f dt2D="0" dtr="0">HYPERLINK("https://www.icra.in/Rating/RatingDetails?CompanyId=0&amp;CompanyName=Shree Kaushalya Fibers", "Rationale")</f>
        <v/>
      </c>
    </row>
    <row r="2173">
      <c r="A2173" s="0" t="s">
        <v>5094</v>
      </c>
      <c r="B2173" s="0" t="s">
        <v>5095</v>
      </c>
      <c r="C2173" s="0" t="s">
        <v>71</v>
      </c>
      <c r="D2173" s="0">
        <f dt2D="0" dtr="0">HYPERLINK("https://www.icra.in/Rating/RatingDetails?CompanyId=0&amp;CompanyName=Shree Khodal Cot-gin Pvt. Ltd.", "Rationale")</f>
        <v/>
      </c>
    </row>
    <row r="2174">
      <c r="A2174" s="0" t="s">
        <v>5096</v>
      </c>
      <c r="B2174" s="0" t="s">
        <v>5097</v>
      </c>
      <c r="C2174" s="0" t="s">
        <v>640</v>
      </c>
      <c r="D2174" s="0">
        <f dt2D="0" dtr="0">HYPERLINK("https://www.icra.in/Rating/RatingDetails?CompanyId=0&amp;CompanyName=Shree Khodiyar Oil Industries", "Rationale")</f>
        <v/>
      </c>
    </row>
    <row r="2175">
      <c r="A2175" s="0" t="s">
        <v>5098</v>
      </c>
      <c r="B2175" s="0" t="s">
        <v>5099</v>
      </c>
      <c r="C2175" s="0" t="s">
        <v>5100</v>
      </c>
      <c r="D2175" s="0">
        <f dt2D="0" dtr="0">HYPERLINK("https://www.icra.in/Rating/RatingDetails?CompanyId=0&amp;CompanyName=Shree Krishna Rice Mills", "Rationale")</f>
        <v/>
      </c>
    </row>
    <row r="2176">
      <c r="A2176" s="0" t="s">
        <v>5101</v>
      </c>
      <c r="B2176" s="0" t="s">
        <v>5102</v>
      </c>
      <c r="C2176" s="0" t="s">
        <v>5103</v>
      </c>
      <c r="D2176" s="0">
        <f dt2D="0" dtr="0">HYPERLINK("https://www.icra.in/Rating/RatingDetails?CompanyId=0&amp;CompanyName=Shree Krishna Stevedores Private Limited", "Rationale")</f>
        <v/>
      </c>
    </row>
    <row r="2177">
      <c r="A2177" s="0" t="s">
        <v>5104</v>
      </c>
      <c r="B2177" s="0" t="s">
        <v>5105</v>
      </c>
      <c r="C2177" s="0" t="s">
        <v>71</v>
      </c>
      <c r="D2177" s="0">
        <f dt2D="0" dtr="0">HYPERLINK("https://www.icra.in/Rating/RatingDetails?CompanyId=0&amp;CompanyName=Shree Laxmi Guar Gum Industries", "Rationale")</f>
        <v/>
      </c>
    </row>
    <row r="2178">
      <c r="A2178" s="0" t="s">
        <v>5106</v>
      </c>
      <c r="B2178" s="0" t="s">
        <v>5107</v>
      </c>
      <c r="C2178" s="0" t="s">
        <v>5108</v>
      </c>
      <c r="D2178" s="0">
        <f dt2D="0" dtr="0">HYPERLINK("https://www.icra.in/Rating/RatingDetails?CompanyId=0&amp;CompanyName=Shree Laxmi Lal Patel", "Rationale")</f>
        <v/>
      </c>
    </row>
    <row r="2179">
      <c r="A2179" s="0" t="s">
        <v>5109</v>
      </c>
      <c r="B2179" s="0" t="s">
        <v>5110</v>
      </c>
      <c r="C2179" s="0" t="s">
        <v>3284</v>
      </c>
      <c r="D2179" s="0">
        <f dt2D="0" dtr="0">HYPERLINK("https://www.icra.in/Rating/RatingDetails?CompanyId=0&amp;CompanyName=Shree Madhav Agencies Pvt Ltd", "Rationale")</f>
        <v/>
      </c>
    </row>
    <row r="2180">
      <c r="A2180" s="0" t="s">
        <v>5111</v>
      </c>
      <c r="B2180" s="0" t="s">
        <v>5112</v>
      </c>
      <c r="C2180" s="0" t="s">
        <v>165</v>
      </c>
      <c r="D2180" s="0">
        <f dt2D="0" dtr="0">HYPERLINK("https://www.icra.in/Rating/RatingDetails?CompanyId=0&amp;CompanyName=Shree Murugan Flour Mills (P) Ltd", "Rationale")</f>
        <v/>
      </c>
    </row>
    <row r="2181">
      <c r="A2181" s="0" t="s">
        <v>5113</v>
      </c>
      <c r="B2181" s="0" t="s">
        <v>5114</v>
      </c>
      <c r="C2181" s="0" t="s">
        <v>71</v>
      </c>
      <c r="D2181" s="0">
        <f dt2D="0" dtr="0">HYPERLINK("https://www.icra.in/Rating/RatingDetails?CompanyId=0&amp;CompanyName=Shree Navkar Tex Creations (erstwhile Navkar Tex Creations)", "Rationale")</f>
        <v/>
      </c>
    </row>
    <row r="2182">
      <c r="A2182" s="0" t="s">
        <v>5115</v>
      </c>
      <c r="B2182" s="0" t="s">
        <v>5116</v>
      </c>
      <c r="C2182" s="0" t="s">
        <v>3404</v>
      </c>
      <c r="D2182" s="0">
        <f dt2D="0" dtr="0">HYPERLINK("https://www.icra.in/Rating/RatingDetails?CompanyId=0&amp;CompanyName=Shree Oshiya Strips Impex Private Limited", "Rationale")</f>
        <v/>
      </c>
    </row>
    <row r="2183">
      <c r="A2183" s="0" t="s">
        <v>5117</v>
      </c>
      <c r="B2183" s="0" t="s">
        <v>5118</v>
      </c>
      <c r="C2183" s="0" t="s">
        <v>256</v>
      </c>
      <c r="D2183" s="0">
        <f dt2D="0" dtr="0">HYPERLINK("https://www.icra.in/Rating/RatingDetails?CompanyId=0&amp;CompanyName=Shree Raghuvanshi Fibers Private Limited", "Rationale")</f>
        <v/>
      </c>
    </row>
    <row r="2184">
      <c r="A2184" s="0" t="s">
        <v>5119</v>
      </c>
      <c r="B2184" s="0" t="s">
        <v>5120</v>
      </c>
      <c r="C2184" s="0" t="s">
        <v>1674</v>
      </c>
      <c r="D2184" s="0">
        <f dt2D="0" dtr="0">HYPERLINK("https://www.icra.in/Rating/RatingDetails?CompanyId=0&amp;CompanyName=Shree Raj Mahal Diamonds Pvt. Ltd", "Rationale")</f>
        <v/>
      </c>
    </row>
    <row r="2185">
      <c r="A2185" s="0" t="s">
        <v>5121</v>
      </c>
      <c r="B2185" s="0" t="s">
        <v>5122</v>
      </c>
      <c r="C2185" s="0" t="s">
        <v>278</v>
      </c>
      <c r="D2185" s="0">
        <f dt2D="0" dtr="0">HYPERLINK("https://www.icra.in/Rating/RatingDetails?CompanyId=0&amp;CompanyName=Shree Rajendra Agro Industries", "Rationale")</f>
        <v/>
      </c>
    </row>
    <row r="2186">
      <c r="A2186" s="0" t="s">
        <v>5123</v>
      </c>
      <c r="B2186" s="0" t="s">
        <v>5124</v>
      </c>
      <c r="C2186" s="0" t="s">
        <v>1872</v>
      </c>
      <c r="D2186" s="0">
        <f dt2D="0" dtr="0">HYPERLINK("https://www.icra.in/Rating/RatingDetails?CompanyId=0&amp;CompanyName=Shree Ram Cottex Industries Private Limited", "Rationale")</f>
        <v/>
      </c>
    </row>
    <row r="2187">
      <c r="A2187" s="0" t="s">
        <v>5125</v>
      </c>
      <c r="B2187" s="0" t="s">
        <v>5126</v>
      </c>
      <c r="C2187" s="0" t="s">
        <v>4113</v>
      </c>
      <c r="D2187" s="0">
        <f dt2D="0" dtr="0">HYPERLINK("https://www.icra.in/Rating/RatingDetails?CompanyId=0&amp;CompanyName=Shree Ram Cotton Industries (Tankara)", "Rationale")</f>
        <v/>
      </c>
    </row>
    <row r="2188">
      <c r="A2188" s="0" t="s">
        <v>5127</v>
      </c>
      <c r="B2188" s="0" t="s">
        <v>5128</v>
      </c>
      <c r="C2188" s="0" t="s">
        <v>278</v>
      </c>
      <c r="D2188" s="0">
        <f dt2D="0" dtr="0">HYPERLINK("https://www.icra.in/Rating/RatingDetails?CompanyId=0&amp;CompanyName=Shree Ram Kripa Buildhome Private Limited", "Rationale")</f>
        <v/>
      </c>
    </row>
    <row r="2189">
      <c r="A2189" s="0" t="s">
        <v>5129</v>
      </c>
      <c r="B2189" s="0" t="s">
        <v>5130</v>
      </c>
      <c r="C2189" s="0" t="s">
        <v>5131</v>
      </c>
      <c r="D2189" s="0">
        <f dt2D="0" dtr="0">HYPERLINK("https://www.icra.in/Rating/RatingDetails?CompanyId=0&amp;CompanyName=Shree Ram Proteins Limited", "Rationale")</f>
        <v/>
      </c>
    </row>
    <row r="2190">
      <c r="A2190" s="0" t="s">
        <v>5132</v>
      </c>
      <c r="B2190" s="0" t="s">
        <v>5133</v>
      </c>
      <c r="C2190" s="0" t="s">
        <v>5134</v>
      </c>
      <c r="D2190" s="0">
        <f dt2D="0" dtr="0">HYPERLINK("https://www.icra.in/Rating/RatingDetails?CompanyId=0&amp;CompanyName=Shree Ram Pulse Mills", "Rationale")</f>
        <v/>
      </c>
    </row>
    <row r="2191">
      <c r="A2191" s="0" t="s">
        <v>5135</v>
      </c>
      <c r="B2191" s="0" t="s">
        <v>5136</v>
      </c>
      <c r="C2191" s="0" t="s">
        <v>71</v>
      </c>
      <c r="D2191" s="0">
        <f dt2D="0" dtr="0">HYPERLINK("https://www.icra.in/Rating/RatingDetails?CompanyId=0&amp;CompanyName=Shree Ram Rayon - Surat", "Rationale")</f>
        <v/>
      </c>
    </row>
    <row r="2192">
      <c r="A2192" s="0" t="s">
        <v>5137</v>
      </c>
      <c r="B2192" s="0" t="s">
        <v>5138</v>
      </c>
      <c r="C2192" s="0" t="s">
        <v>301</v>
      </c>
      <c r="D2192" s="0">
        <f dt2D="0" dtr="0">HYPERLINK("https://www.icra.in/Rating/RatingDetails?CompanyId=0&amp;CompanyName=Shree Santosh Cotton Spin Pvt. Ltd.", "Rationale")</f>
        <v/>
      </c>
    </row>
    <row r="2193">
      <c r="A2193" s="0" t="s">
        <v>5139</v>
      </c>
      <c r="B2193" s="0" t="s">
        <v>5140</v>
      </c>
      <c r="C2193" s="0" t="s">
        <v>492</v>
      </c>
      <c r="D2193" s="0">
        <f dt2D="0" dtr="0">HYPERLINK("https://www.icra.in/Rating/RatingDetails?CompanyId=0&amp;CompanyName=Shree Shakti Agro Industries", "Rationale")</f>
        <v/>
      </c>
    </row>
    <row r="2194">
      <c r="A2194" s="0" t="s">
        <v>5141</v>
      </c>
      <c r="B2194" s="0" t="s">
        <v>5142</v>
      </c>
      <c r="C2194" s="0" t="s">
        <v>2887</v>
      </c>
      <c r="D2194" s="0">
        <f dt2D="0" dtr="0">HYPERLINK("https://www.icra.in/Rating/RatingDetails?CompanyId=0&amp;CompanyName=Shree Shakti Construction", "Rationale")</f>
        <v/>
      </c>
    </row>
    <row r="2195">
      <c r="A2195" s="0" t="s">
        <v>5143</v>
      </c>
      <c r="B2195" s="0" t="s">
        <v>5144</v>
      </c>
      <c r="C2195" s="0" t="s">
        <v>882</v>
      </c>
      <c r="D2195" s="0">
        <f dt2D="0" dtr="0">HYPERLINK("https://www.icra.in/Rating/RatingDetails?CompanyId=0&amp;CompanyName=Shree Shyam Designs Pvt. Ltd.", "Rationale")</f>
        <v/>
      </c>
    </row>
    <row r="2196">
      <c r="A2196" s="0" t="s">
        <v>5145</v>
      </c>
      <c r="B2196" s="0" t="s">
        <v>5146</v>
      </c>
      <c r="C2196" s="0" t="s">
        <v>5147</v>
      </c>
      <c r="D2196" s="0">
        <f dt2D="0" dtr="0">HYPERLINK("https://www.icra.in/Rating/RatingDetails?CompanyId=0&amp;CompanyName=Shree Shyam Sponge &amp; Power Limited", "Rationale")</f>
        <v/>
      </c>
    </row>
    <row r="2197">
      <c r="A2197" s="0" t="s">
        <v>5148</v>
      </c>
      <c r="B2197" s="0" t="s">
        <v>5149</v>
      </c>
      <c r="C2197" s="0" t="s">
        <v>1832</v>
      </c>
      <c r="D2197" s="0">
        <f dt2D="0" dtr="0">HYPERLINK("https://www.icra.in/Rating/RatingDetails?CompanyId=0&amp;CompanyName=Shree Siddhnath Cotex Private Limited", "Rationale")</f>
        <v/>
      </c>
    </row>
    <row r="2198">
      <c r="A2198" s="0" t="s">
        <v>5150</v>
      </c>
      <c r="B2198" s="0" t="s">
        <v>5151</v>
      </c>
      <c r="C2198" s="0" t="s">
        <v>71</v>
      </c>
      <c r="D2198" s="0">
        <f dt2D="0" dtr="0">HYPERLINK("https://www.icra.in/Rating/RatingDetails?CompanyId=0&amp;CompanyName=Shree Somnath Iron And Power Private Limited", "Rationale")</f>
        <v/>
      </c>
    </row>
    <row r="2199">
      <c r="A2199" s="0" t="s">
        <v>5152</v>
      </c>
      <c r="B2199" s="0" t="s">
        <v>5153</v>
      </c>
      <c r="C2199" s="0" t="s">
        <v>71</v>
      </c>
      <c r="D2199" s="0">
        <f dt2D="0" dtr="0">HYPERLINK("https://www.icra.in/Rating/RatingDetails?CompanyId=0&amp;CompanyName=Shree Umavanshi Industries", "Rationale")</f>
        <v/>
      </c>
    </row>
    <row r="2200">
      <c r="A2200" s="0" t="s">
        <v>5154</v>
      </c>
      <c r="B2200" s="0" t="s">
        <v>5155</v>
      </c>
      <c r="C2200" s="0" t="s">
        <v>71</v>
      </c>
      <c r="D2200" s="0">
        <f dt2D="0" dtr="0">HYPERLINK("https://www.icra.in/Rating/RatingDetails?CompanyId=0&amp;CompanyName=Shree Umiya Cotspin Pvt. Ltd.", "Rationale")</f>
        <v/>
      </c>
    </row>
    <row r="2201">
      <c r="A2201" s="0" t="s">
        <v>5156</v>
      </c>
      <c r="B2201" s="0" t="s">
        <v>5157</v>
      </c>
      <c r="C2201" s="0" t="s">
        <v>430</v>
      </c>
      <c r="D2201" s="0">
        <f dt2D="0" dtr="0">HYPERLINK("https://www.icra.in/Rating/RatingDetails?CompanyId=0&amp;CompanyName=Shree Vishwakarma Builders", "Rationale")</f>
        <v/>
      </c>
    </row>
    <row r="2202">
      <c r="A2202" s="0" t="s">
        <v>5158</v>
      </c>
      <c r="B2202" s="0" t="s">
        <v>5159</v>
      </c>
      <c r="C2202" s="0" t="s">
        <v>372</v>
      </c>
      <c r="D2202" s="0">
        <f dt2D="0" dtr="0">HYPERLINK("https://www.icra.in/Rating/RatingDetails?CompanyId=0&amp;CompanyName=Shree Yamuna Ginning and Pressing Factory", "Rationale")</f>
        <v/>
      </c>
    </row>
    <row r="2203">
      <c r="A2203" s="0" t="s">
        <v>5160</v>
      </c>
      <c r="B2203" s="0" t="s">
        <v>5161</v>
      </c>
      <c r="C2203" s="0" t="s">
        <v>5162</v>
      </c>
      <c r="D2203" s="0">
        <f dt2D="0" dtr="0">HYPERLINK("https://www.icra.in/Rating/RatingDetails?CompanyId=0&amp;CompanyName=Shreegopal Gobind Agro Tech Private Limited", "Rationale")</f>
        <v/>
      </c>
    </row>
    <row r="2204">
      <c r="A2204" s="0" t="s">
        <v>5163</v>
      </c>
      <c r="B2204" s="0" t="s">
        <v>5164</v>
      </c>
      <c r="C2204" s="0" t="s">
        <v>5165</v>
      </c>
      <c r="D2204" s="0">
        <f dt2D="0" dtr="0">HYPERLINK("https://www.icra.in/Rating/RatingDetails?CompanyId=0&amp;CompanyName=Shreeji Construction", "Rationale")</f>
        <v/>
      </c>
    </row>
    <row r="2205">
      <c r="A2205" s="0" t="s">
        <v>5166</v>
      </c>
      <c r="B2205" s="0" t="s">
        <v>5167</v>
      </c>
      <c r="C2205" s="0" t="s">
        <v>71</v>
      </c>
      <c r="D2205" s="0">
        <f dt2D="0" dtr="0">HYPERLINK("https://www.icra.in/Rating/RatingDetails?CompanyId=0&amp;CompanyName=Shreeji Cotton Industries", "Rationale")</f>
        <v/>
      </c>
    </row>
    <row r="2206">
      <c r="A2206" s="0" t="s">
        <v>5168</v>
      </c>
      <c r="B2206" s="0" t="s">
        <v>5169</v>
      </c>
      <c r="C2206" s="0" t="s">
        <v>1363</v>
      </c>
      <c r="D2206" s="0">
        <f dt2D="0" dtr="0">HYPERLINK("https://www.icra.in/Rating/RatingDetails?CompanyId=0&amp;CompanyName=Shreenathji Cotgin Private Limited", "Rationale")</f>
        <v/>
      </c>
    </row>
    <row r="2207">
      <c r="A2207" s="0" t="s">
        <v>5170</v>
      </c>
      <c r="B2207" s="0" t="s">
        <v>5171</v>
      </c>
      <c r="C2207" s="0" t="s">
        <v>2101</v>
      </c>
      <c r="D2207" s="0">
        <f dt2D="0" dtr="0">HYPERLINK("https://www.icra.in/Rating/RatingDetails?CompanyId=0&amp;CompanyName=Shreepati Castle", "Rationale")</f>
        <v/>
      </c>
    </row>
    <row r="2208">
      <c r="A2208" s="0" t="s">
        <v>5172</v>
      </c>
      <c r="B2208" s="0" t="s">
        <v>5173</v>
      </c>
      <c r="C2208" s="0" t="s">
        <v>1201</v>
      </c>
      <c r="D2208" s="0">
        <f dt2D="0" dtr="0">HYPERLINK("https://www.icra.in/Rating/RatingDetails?CompanyId=0&amp;CompanyName=Shreeram and Sons", "Rationale")</f>
        <v/>
      </c>
    </row>
    <row r="2209">
      <c r="A2209" s="0" t="s">
        <v>5174</v>
      </c>
      <c r="B2209" s="0" t="s">
        <v>5175</v>
      </c>
      <c r="C2209" s="0" t="s">
        <v>2327</v>
      </c>
      <c r="D2209" s="0">
        <f dt2D="0" dtr="0">HYPERLINK("https://www.icra.in/Rating/RatingDetails?CompanyId=0&amp;CompanyName=Shreyans Oils Limited", "Rationale")</f>
        <v/>
      </c>
    </row>
    <row r="2210">
      <c r="A2210" s="0" t="s">
        <v>5176</v>
      </c>
      <c r="B2210" s="0" t="s">
        <v>5177</v>
      </c>
      <c r="C2210" s="0" t="s">
        <v>2740</v>
      </c>
      <c r="D2210" s="0">
        <f dt2D="0" dtr="0">HYPERLINK("https://www.icra.in/Rating/RatingDetails?CompanyId=0&amp;CompanyName=Shri Balaji Industries", "Rationale")</f>
        <v/>
      </c>
    </row>
    <row r="2211">
      <c r="A2211" s="0" t="s">
        <v>5178</v>
      </c>
      <c r="B2211" s="0" t="s">
        <v>5179</v>
      </c>
      <c r="C2211" s="0" t="s">
        <v>718</v>
      </c>
      <c r="D2211" s="0">
        <f dt2D="0" dtr="0">HYPERLINK("https://www.icra.in/Rating/RatingDetails?CompanyId=0&amp;CompanyName=Shri Balaji Literary &amp; Charitable Society Bahra Group of Institutions", "Rationale")</f>
        <v/>
      </c>
    </row>
    <row r="2212">
      <c r="A2212" s="0" t="s">
        <v>5180</v>
      </c>
      <c r="B2212" s="0" t="s">
        <v>5181</v>
      </c>
      <c r="C2212" s="0" t="s">
        <v>314</v>
      </c>
      <c r="D2212" s="0">
        <f dt2D="0" dtr="0">HYPERLINK("https://www.icra.in/Rating/RatingDetails?CompanyId=0&amp;CompanyName=Shri Banke Bihari Polyfab Pvt Ltd", "Rationale")</f>
        <v/>
      </c>
    </row>
    <row r="2213">
      <c r="A2213" s="0" t="s">
        <v>5182</v>
      </c>
      <c r="B2213" s="0" t="s">
        <v>5183</v>
      </c>
      <c r="C2213" s="0" t="s">
        <v>100</v>
      </c>
      <c r="D2213" s="0">
        <f dt2D="0" dtr="0">HYPERLINK("https://www.icra.in/Rating/RatingDetails?CompanyId=0&amp;CompanyName=Shri Darshana Industries", "Rationale")</f>
        <v/>
      </c>
    </row>
    <row r="2214">
      <c r="A2214" s="0" t="s">
        <v>5184</v>
      </c>
      <c r="B2214" s="0" t="s">
        <v>5185</v>
      </c>
      <c r="C2214" s="0" t="s">
        <v>5186</v>
      </c>
      <c r="D2214" s="0">
        <f dt2D="0" dtr="0">HYPERLINK("https://www.icra.in/Rating/RatingDetails?CompanyId=0&amp;CompanyName=Shri Ganesh Fire Equipments (P) Limited", "Rationale")</f>
        <v/>
      </c>
    </row>
    <row r="2215">
      <c r="A2215" s="0" t="s">
        <v>5187</v>
      </c>
      <c r="B2215" s="0" t="s">
        <v>5188</v>
      </c>
      <c r="C2215" s="0" t="s">
        <v>5189</v>
      </c>
      <c r="D2215" s="0">
        <f dt2D="0" dtr="0">HYPERLINK("https://www.icra.in/Rating/RatingDetails?CompanyId=0&amp;CompanyName=Shri Ganesh Industries", "Rationale")</f>
        <v/>
      </c>
    </row>
    <row r="2216">
      <c r="A2216" s="0" t="s">
        <v>5190</v>
      </c>
      <c r="B2216" s="0" t="s">
        <v>5191</v>
      </c>
      <c r="C2216" s="0" t="s">
        <v>180</v>
      </c>
      <c r="D2216" s="0">
        <f dt2D="0" dtr="0">HYPERLINK("https://www.icra.in/Rating/RatingDetails?CompanyId=0&amp;CompanyName=Shri Hari Group", "Rationale")</f>
        <v/>
      </c>
    </row>
    <row r="2217">
      <c r="A2217" s="0" t="s">
        <v>5192</v>
      </c>
      <c r="B2217" s="0" t="s">
        <v>5193</v>
      </c>
      <c r="C2217" s="0" t="s">
        <v>5194</v>
      </c>
      <c r="D2217" s="0">
        <f dt2D="0" dtr="0">HYPERLINK("https://www.icra.in/Rating/RatingDetails?CompanyId=0&amp;CompanyName=Shri Haridarshan Jewellers", "Rationale")</f>
        <v/>
      </c>
    </row>
    <row r="2218">
      <c r="A2218" s="0" t="s">
        <v>5195</v>
      </c>
      <c r="B2218" s="0" t="s">
        <v>5196</v>
      </c>
      <c r="C2218" s="0" t="s">
        <v>71</v>
      </c>
      <c r="D2218" s="0">
        <f dt2D="0" dtr="0">HYPERLINK("https://www.icra.in/Rating/RatingDetails?CompanyId=0&amp;CompanyName=Shri Krishna Agro Industries", "Rationale")</f>
        <v/>
      </c>
    </row>
    <row r="2219">
      <c r="A2219" s="0" t="s">
        <v>5197</v>
      </c>
      <c r="B2219" s="0" t="s">
        <v>5198</v>
      </c>
      <c r="C2219" s="0" t="s">
        <v>5199</v>
      </c>
      <c r="D2219" s="0">
        <f dt2D="0" dtr="0">HYPERLINK("https://www.icra.in/Rating/RatingDetails?CompanyId=0&amp;CompanyName=Shri Krishna Autosales Private Limited", "Rationale")</f>
        <v/>
      </c>
    </row>
    <row r="2220">
      <c r="A2220" s="0" t="s">
        <v>5200</v>
      </c>
      <c r="B2220" s="0" t="s">
        <v>5201</v>
      </c>
      <c r="C2220" s="0" t="s">
        <v>1279</v>
      </c>
      <c r="D2220" s="0">
        <f dt2D="0" dtr="0">HYPERLINK("https://www.icra.in/Rating/RatingDetails?CompanyId=0&amp;CompanyName=Shri Laxminarayan Chemical &amp; Fertilizers Private Limited", "Rationale")</f>
        <v/>
      </c>
    </row>
    <row r="2221">
      <c r="A2221" s="0" t="s">
        <v>5202</v>
      </c>
      <c r="B2221" s="0" t="s">
        <v>5203</v>
      </c>
      <c r="C2221" s="0" t="s">
        <v>1158</v>
      </c>
      <c r="D2221" s="0">
        <f dt2D="0" dtr="0">HYPERLINK("https://www.icra.in/Rating/RatingDetails?CompanyId=0&amp;CompanyName=Shri Ram Rice Mill", "Rationale")</f>
        <v/>
      </c>
    </row>
    <row r="2222">
      <c r="A2222" s="0" t="s">
        <v>5204</v>
      </c>
      <c r="B2222" s="0" t="s">
        <v>5205</v>
      </c>
      <c r="C2222" s="0" t="s">
        <v>372</v>
      </c>
      <c r="D2222" s="0">
        <f dt2D="0" dtr="0">HYPERLINK("https://www.icra.in/Rating/RatingDetails?CompanyId=0&amp;CompanyName=Shri Ram Rice Mills", "Rationale")</f>
        <v/>
      </c>
    </row>
    <row r="2223">
      <c r="A2223" s="0" t="s">
        <v>5206</v>
      </c>
      <c r="B2223" s="0" t="s">
        <v>5207</v>
      </c>
      <c r="C2223" s="0" t="s">
        <v>256</v>
      </c>
      <c r="D2223" s="0">
        <f dt2D="0" dtr="0">HYPERLINK("https://www.icra.in/Rating/RatingDetails?CompanyId=0&amp;CompanyName=Shri Ram Rolling Mill", "Rationale")</f>
        <v/>
      </c>
    </row>
    <row r="2224">
      <c r="A2224" s="0" t="s">
        <v>5208</v>
      </c>
      <c r="B2224" s="0" t="s">
        <v>5209</v>
      </c>
      <c r="C2224" s="0" t="s">
        <v>5210</v>
      </c>
      <c r="D2224" s="0">
        <f dt2D="0" dtr="0">HYPERLINK("https://www.icra.in/Rating/RatingDetails?CompanyId=0&amp;CompanyName=Shri Ram Switchgears Limited", "Rationale")</f>
        <v/>
      </c>
    </row>
    <row r="2225">
      <c r="A2225" s="0" t="s">
        <v>5211</v>
      </c>
      <c r="B2225" s="0" t="s">
        <v>5212</v>
      </c>
      <c r="C2225" s="0" t="s">
        <v>71</v>
      </c>
      <c r="D2225" s="0">
        <f dt2D="0" dtr="0">HYPERLINK("https://www.icra.in/Rating/RatingDetails?CompanyId=0&amp;CompanyName=Shri Senthur Velan Infras", "Rationale")</f>
        <v/>
      </c>
    </row>
    <row r="2226">
      <c r="A2226" s="0" t="s">
        <v>5213</v>
      </c>
      <c r="B2226" s="0" t="s">
        <v>5214</v>
      </c>
      <c r="C2226" s="0" t="s">
        <v>4063</v>
      </c>
      <c r="D2226" s="0">
        <f dt2D="0" dtr="0">HYPERLINK("https://www.icra.in/Rating/RatingDetails?CompanyId=0&amp;CompanyName=Shri Shyamji Agrico Exports Private Limited", "Rationale")</f>
        <v/>
      </c>
    </row>
    <row r="2227">
      <c r="A2227" s="0" t="s">
        <v>5215</v>
      </c>
      <c r="B2227" s="0" t="s">
        <v>5216</v>
      </c>
      <c r="C2227" s="0" t="s">
        <v>372</v>
      </c>
      <c r="D2227" s="0">
        <f dt2D="0" dtr="0">HYPERLINK("https://www.icra.in/Rating/RatingDetails?CompanyId=0&amp;CompanyName=Shri Siddhbali Agro Industries", "Rationale")</f>
        <v/>
      </c>
    </row>
    <row r="2228">
      <c r="A2228" s="0" t="s">
        <v>5217</v>
      </c>
      <c r="B2228" s="0" t="s">
        <v>5218</v>
      </c>
      <c r="C2228" s="0" t="s">
        <v>4525</v>
      </c>
      <c r="D2228" s="0">
        <f dt2D="0" dtr="0">HYPERLINK("https://www.icra.in/Rating/RatingDetails?CompanyId=0&amp;CompanyName=Shri Sode Vadiraja Mutt Education Trust", "Rationale")</f>
        <v/>
      </c>
    </row>
    <row r="2229">
      <c r="A2229" s="0" t="s">
        <v>5219</v>
      </c>
      <c r="B2229" s="0" t="s">
        <v>5220</v>
      </c>
      <c r="C2229" s="0" t="s">
        <v>2121</v>
      </c>
      <c r="D2229" s="0">
        <f dt2D="0" dtr="0">HYPERLINK("https://www.icra.in/Rating/RatingDetails?CompanyId=0&amp;CompanyName=Shri Tradco Deesan Private Limited", "Rationale")</f>
        <v/>
      </c>
    </row>
    <row r="2230">
      <c r="A2230" s="0" t="s">
        <v>5221</v>
      </c>
      <c r="B2230" s="0" t="s">
        <v>5222</v>
      </c>
      <c r="C2230" s="0" t="s">
        <v>2121</v>
      </c>
      <c r="D2230" s="0">
        <f dt2D="0" dtr="0">HYPERLINK("https://www.icra.in/Rating/RatingDetails?CompanyId=0&amp;CompanyName=Shri Tradco India Private Limited", "Rationale")</f>
        <v/>
      </c>
    </row>
    <row r="2231">
      <c r="A2231" s="0" t="s">
        <v>5223</v>
      </c>
      <c r="B2231" s="0" t="s">
        <v>5224</v>
      </c>
      <c r="C2231" s="0" t="s">
        <v>1222</v>
      </c>
      <c r="D2231" s="0">
        <f dt2D="0" dtr="0">HYPERLINK("https://www.icra.in/Rating/RatingDetails?CompanyId=0&amp;CompanyName=Shri Tulsi Oil Products", "Rationale")</f>
        <v/>
      </c>
    </row>
    <row r="2232">
      <c r="A2232" s="0" t="s">
        <v>5225</v>
      </c>
      <c r="B2232" s="0" t="s">
        <v>5226</v>
      </c>
      <c r="C2232" s="0" t="s">
        <v>1564</v>
      </c>
      <c r="D2232" s="0">
        <f dt2D="0" dtr="0">HYPERLINK("https://www.icra.in/Rating/RatingDetails?CompanyId=0&amp;CompanyName=Shrikishan &amp; Company", "Rationale")</f>
        <v/>
      </c>
    </row>
    <row r="2233">
      <c r="A2233" s="0" t="s">
        <v>5227</v>
      </c>
      <c r="B2233" s="0" t="s">
        <v>5228</v>
      </c>
      <c r="C2233" s="0" t="s">
        <v>3251</v>
      </c>
      <c r="D2233" s="0">
        <f dt2D="0" dtr="0">HYPERLINK("https://www.icra.in/Rating/RatingDetails?CompanyId=0&amp;CompanyName=Shriman Enterprises", "Rationale")</f>
        <v/>
      </c>
    </row>
    <row r="2234">
      <c r="A2234" s="0" t="s">
        <v>5229</v>
      </c>
      <c r="B2234" s="0" t="s">
        <v>5230</v>
      </c>
      <c r="C2234" s="0" t="s">
        <v>1815</v>
      </c>
      <c r="D2234" s="0">
        <f dt2D="0" dtr="0">HYPERLINK("https://www.icra.in/Rating/RatingDetails?CompanyId=0&amp;CompanyName=Shrinet and Shandilya Construction Private Limited", "Rationale")</f>
        <v/>
      </c>
    </row>
    <row r="2235">
      <c r="A2235" s="0" t="s">
        <v>5231</v>
      </c>
      <c r="B2235" s="0" t="s">
        <v>5232</v>
      </c>
      <c r="C2235" s="0" t="s">
        <v>5233</v>
      </c>
      <c r="D2235" s="0">
        <f dt2D="0" dtr="0">HYPERLINK("https://www.icra.in/Rating/RatingDetails?CompanyId=0&amp;CompanyName=Shrinivas (Gujarat) Laboratories Private Limited", "Rationale")</f>
        <v/>
      </c>
    </row>
    <row r="2236">
      <c r="A2236" s="0" t="s">
        <v>5234</v>
      </c>
      <c r="B2236" s="0" t="s">
        <v>5235</v>
      </c>
      <c r="C2236" s="0" t="s">
        <v>5236</v>
      </c>
      <c r="D2236" s="0">
        <f dt2D="0" dtr="0">HYPERLINK("https://www.icra.in/Rating/RatingDetails?CompanyId=0&amp;CompanyName=Shrinivasa Cattle Feeds Private Limited", "Rationale")</f>
        <v/>
      </c>
    </row>
    <row r="2237">
      <c r="A2237" s="0" t="s">
        <v>5237</v>
      </c>
      <c r="B2237" s="0" t="s">
        <v>5238</v>
      </c>
      <c r="C2237" s="0" t="s">
        <v>405</v>
      </c>
      <c r="D2237" s="0">
        <f dt2D="0" dtr="0">HYPERLINK("https://www.icra.in/Rating/RatingDetails?CompanyId=0&amp;CompanyName=Shriniwas Board &amp; Paper Private Limited", "Rationale")</f>
        <v/>
      </c>
    </row>
    <row r="2238">
      <c r="A2238" s="0" t="s">
        <v>5239</v>
      </c>
      <c r="B2238" s="0" t="s">
        <v>5240</v>
      </c>
      <c r="C2238" s="0" t="s">
        <v>679</v>
      </c>
      <c r="D2238" s="0">
        <f dt2D="0" dtr="0">HYPERLINK("https://www.icra.in/Rating/RatingDetails?CompanyId=0&amp;CompanyName=Shriram SEPL Composites Private Limited", "Rationale")</f>
        <v/>
      </c>
    </row>
    <row r="2239">
      <c r="A2239" s="0" t="s">
        <v>5241</v>
      </c>
      <c r="B2239" s="0" t="s">
        <v>5242</v>
      </c>
      <c r="C2239" s="0" t="s">
        <v>1123</v>
      </c>
      <c r="D2239" s="0">
        <f dt2D="0" dtr="0">HYPERLINK("https://www.icra.in/Rating/RatingDetails?CompanyId=0&amp;CompanyName=Shriramkrupa Fibers", "Rationale")</f>
        <v/>
      </c>
    </row>
    <row r="2240">
      <c r="A2240" s="0" t="s">
        <v>5243</v>
      </c>
      <c r="B2240" s="0" t="s">
        <v>5244</v>
      </c>
      <c r="C2240" s="0" t="s">
        <v>71</v>
      </c>
      <c r="D2240" s="0">
        <f dt2D="0" dtr="0">HYPERLINK("https://www.icra.in/Rating/RatingDetails?CompanyId=0&amp;CompanyName=Shrishti Technologies", "Rationale")</f>
        <v/>
      </c>
    </row>
    <row r="2241">
      <c r="A2241" s="0" t="s">
        <v>5245</v>
      </c>
      <c r="B2241" s="0" t="s">
        <v>5246</v>
      </c>
      <c r="C2241" s="0" t="s">
        <v>236</v>
      </c>
      <c r="D2241" s="0">
        <f dt2D="0" dtr="0">HYPERLINK("https://www.icra.in/Rating/RatingDetails?CompanyId=0&amp;CompanyName=Shrivardhman Milk Dairy Private Limited", "Rationale")</f>
        <v/>
      </c>
    </row>
    <row r="2242">
      <c r="A2242" s="0" t="s">
        <v>5247</v>
      </c>
      <c r="B2242" s="0" t="s">
        <v>5248</v>
      </c>
      <c r="C2242" s="0" t="s">
        <v>50</v>
      </c>
      <c r="D2242" s="0">
        <f dt2D="0" dtr="0">HYPERLINK("https://www.icra.in/Rating/RatingDetails?CompanyId=0&amp;CompanyName=Shrividya Education Foundation", "Rationale")</f>
        <v/>
      </c>
    </row>
    <row r="2243">
      <c r="A2243" s="0" t="s">
        <v>5249</v>
      </c>
      <c r="B2243" s="0" t="s">
        <v>5250</v>
      </c>
      <c r="C2243" s="0" t="s">
        <v>665</v>
      </c>
      <c r="D2243" s="0">
        <f dt2D="0" dtr="0">HYPERLINK("https://www.icra.in/Rating/RatingDetails?CompanyId=0&amp;CompanyName=Shruthi Milk Products (P) Ltd", "Rationale")</f>
        <v/>
      </c>
    </row>
    <row r="2244">
      <c r="A2244" s="0" t="s">
        <v>5251</v>
      </c>
      <c r="B2244" s="0" t="s">
        <v>5252</v>
      </c>
      <c r="C2244" s="0" t="s">
        <v>5253</v>
      </c>
      <c r="D2244" s="0">
        <f dt2D="0" dtr="0">HYPERLINK("https://www.icra.in/Rating/RatingDetails?CompanyId=0&amp;CompanyName=Shubh Motors Private Limited", "Rationale")</f>
        <v/>
      </c>
    </row>
    <row r="2245">
      <c r="A2245" s="0" t="s">
        <v>5254</v>
      </c>
      <c r="B2245" s="0" t="s">
        <v>5255</v>
      </c>
      <c r="C2245" s="0" t="s">
        <v>2266</v>
      </c>
      <c r="D2245" s="0">
        <f dt2D="0" dtr="0">HYPERLINK("https://www.icra.in/Rating/RatingDetails?CompanyId=0&amp;CompanyName=Shubh Swastik Dal Mill Co. Pvt. Ltd.", "Rationale")</f>
        <v/>
      </c>
    </row>
    <row r="2246">
      <c r="A2246" s="0" t="s">
        <v>5256</v>
      </c>
      <c r="B2246" s="0" t="s">
        <v>5257</v>
      </c>
      <c r="C2246" s="0" t="s">
        <v>873</v>
      </c>
      <c r="D2246" s="0">
        <f dt2D="0" dtr="0">HYPERLINK("https://www.icra.in/Rating/RatingDetails?CompanyId=0&amp;CompanyName=Shubhjivan Developers LLP", "Rationale")</f>
        <v/>
      </c>
    </row>
    <row r="2247">
      <c r="A2247" s="0" t="s">
        <v>5258</v>
      </c>
      <c r="B2247" s="0" t="s">
        <v>5259</v>
      </c>
      <c r="C2247" s="0" t="s">
        <v>497</v>
      </c>
      <c r="D2247" s="0">
        <f dt2D="0" dtr="0">HYPERLINK("https://www.icra.in/Rating/RatingDetails?CompanyId=0&amp;CompanyName=Shunty Bunty Automobiles Private Limited", "Rationale")</f>
        <v/>
      </c>
    </row>
    <row r="2248">
      <c r="A2248" s="0" t="s">
        <v>5260</v>
      </c>
      <c r="B2248" s="0" t="s">
        <v>5261</v>
      </c>
      <c r="C2248" s="0" t="s">
        <v>71</v>
      </c>
      <c r="D2248" s="0">
        <f dt2D="0" dtr="0">HYPERLINK("https://www.icra.in/Rating/RatingDetails?CompanyId=0&amp;CompanyName=Shyam Cottex", "Rationale")</f>
        <v/>
      </c>
    </row>
    <row r="2249">
      <c r="A2249" s="0" t="s">
        <v>5262</v>
      </c>
      <c r="B2249" s="0" t="s">
        <v>5263</v>
      </c>
      <c r="C2249" s="0" t="s">
        <v>5264</v>
      </c>
      <c r="D2249" s="0">
        <f dt2D="0" dtr="0">HYPERLINK("https://www.icra.in/Rating/RatingDetails?CompanyId=0&amp;CompanyName=Shyam Textiles Limited", "Rationale")</f>
        <v/>
      </c>
    </row>
    <row r="2250">
      <c r="A2250" s="0" t="s">
        <v>5265</v>
      </c>
      <c r="B2250" s="0" t="s">
        <v>5266</v>
      </c>
      <c r="C2250" s="0" t="s">
        <v>5267</v>
      </c>
      <c r="D2250" s="0">
        <f dt2D="0" dtr="0">HYPERLINK("https://www.icra.in/Rating/RatingDetails?CompanyId=0&amp;CompanyName=SICAL CONNECT LIMITED", "Rationale")</f>
        <v/>
      </c>
    </row>
    <row r="2251">
      <c r="A2251" s="0" t="s">
        <v>5268</v>
      </c>
      <c r="B2251" s="0" t="s">
        <v>5269</v>
      </c>
      <c r="C2251" s="0" t="s">
        <v>2096</v>
      </c>
      <c r="D2251" s="0">
        <f dt2D="0" dtr="0">HYPERLINK("https://www.icra.in/Rating/RatingDetails?CompanyId=0&amp;CompanyName=Sical Iron ore Terminals Limited", "Rationale")</f>
        <v/>
      </c>
    </row>
    <row r="2252">
      <c r="A2252" s="0" t="s">
        <v>5270</v>
      </c>
      <c r="B2252" s="0" t="s">
        <v>5271</v>
      </c>
      <c r="C2252" s="0" t="s">
        <v>1588</v>
      </c>
      <c r="D2252" s="0">
        <f dt2D="0" dtr="0">HYPERLINK("https://www.icra.in/Rating/RatingDetails?CompanyId=0&amp;CompanyName=Sical Logistics Limited", "Rationale")</f>
        <v/>
      </c>
    </row>
    <row r="2253">
      <c r="A2253" s="0" t="s">
        <v>5272</v>
      </c>
      <c r="B2253" s="0" t="s">
        <v>5273</v>
      </c>
      <c r="C2253" s="0" t="s">
        <v>5267</v>
      </c>
      <c r="D2253" s="0">
        <f dt2D="0" dtr="0">HYPERLINK("https://www.icra.in/Rating/RatingDetails?CompanyId=0&amp;CompanyName=SICAL LOGIXPRESS PRIVATE LIMITED", "Rationale")</f>
        <v/>
      </c>
    </row>
    <row r="2254">
      <c r="A2254" s="0" t="s">
        <v>5274</v>
      </c>
      <c r="B2254" s="0" t="s">
        <v>5275</v>
      </c>
      <c r="C2254" s="0" t="s">
        <v>2096</v>
      </c>
      <c r="D2254" s="0">
        <f dt2D="0" dtr="0">HYPERLINK("https://www.icra.in/Rating/RatingDetails?CompanyId=0&amp;CompanyName=Sical Saumya Mining Limited", "Rationale")</f>
        <v/>
      </c>
    </row>
    <row r="2255">
      <c r="A2255" s="0" t="s">
        <v>5276</v>
      </c>
      <c r="B2255" s="0" t="s">
        <v>5277</v>
      </c>
      <c r="C2255" s="0" t="s">
        <v>324</v>
      </c>
      <c r="D2255" s="0">
        <f dt2D="0" dtr="0">HYPERLINK("https://www.icra.in/Rating/RatingDetails?CompanyId=0&amp;CompanyName=Siddarth Intercrafts Private Limited", "Rationale")</f>
        <v/>
      </c>
    </row>
    <row r="2256">
      <c r="A2256" s="0" t="s">
        <v>5278</v>
      </c>
      <c r="B2256" s="0" t="s">
        <v>5279</v>
      </c>
      <c r="C2256" s="0" t="s">
        <v>324</v>
      </c>
      <c r="D2256" s="0">
        <f dt2D="0" dtr="0">HYPERLINK("https://www.icra.in/Rating/RatingDetails?CompanyId=0&amp;CompanyName=Siddarth Organisation", "Rationale")</f>
        <v/>
      </c>
    </row>
    <row r="2257">
      <c r="A2257" s="0" t="s">
        <v>5280</v>
      </c>
      <c r="B2257" s="0" t="s">
        <v>5281</v>
      </c>
      <c r="C2257" s="0" t="s">
        <v>324</v>
      </c>
      <c r="D2257" s="0">
        <f dt2D="0" dtr="0">HYPERLINK("https://www.icra.in/Rating/RatingDetails?CompanyId=0&amp;CompanyName=Siddarth Organisation Limited", "Rationale")</f>
        <v/>
      </c>
    </row>
    <row r="2258">
      <c r="A2258" s="0" t="s">
        <v>5282</v>
      </c>
      <c r="B2258" s="0" t="s">
        <v>5283</v>
      </c>
      <c r="C2258" s="0" t="s">
        <v>71</v>
      </c>
      <c r="D2258" s="0">
        <f dt2D="0" dtr="0">HYPERLINK("https://www.icra.in/Rating/RatingDetails?CompanyId=0&amp;CompanyName=Siddeshwar Multipurpose Heemghar Private Limited", "Rationale")</f>
        <v/>
      </c>
    </row>
    <row r="2259">
      <c r="A2259" s="0" t="s">
        <v>5284</v>
      </c>
      <c r="B2259" s="0" t="s">
        <v>5285</v>
      </c>
      <c r="C2259" s="0" t="s">
        <v>3648</v>
      </c>
      <c r="D2259" s="0">
        <f dt2D="0" dtr="0">HYPERLINK("https://www.icra.in/Rating/RatingDetails?CompanyId=0&amp;CompanyName=Siddharth Exports", "Rationale")</f>
        <v/>
      </c>
    </row>
    <row r="2260">
      <c r="A2260" s="0" t="s">
        <v>5286</v>
      </c>
      <c r="B2260" s="0" t="s">
        <v>5287</v>
      </c>
      <c r="C2260" s="0" t="s">
        <v>278</v>
      </c>
      <c r="D2260" s="0">
        <f dt2D="0" dtr="0">HYPERLINK("https://www.icra.in/Rating/RatingDetails?CompanyId=0&amp;CompanyName=Siddhi Industries", "Rationale")</f>
        <v/>
      </c>
    </row>
    <row r="2261">
      <c r="A2261" s="0" t="s">
        <v>5288</v>
      </c>
      <c r="B2261" s="0" t="s">
        <v>5289</v>
      </c>
      <c r="C2261" s="0" t="s">
        <v>361</v>
      </c>
      <c r="D2261" s="0">
        <f dt2D="0" dtr="0">HYPERLINK("https://www.icra.in/Rating/RatingDetails?CompanyId=0&amp;CompanyName=Siddhivinayak Construction", "Rationale")</f>
        <v/>
      </c>
    </row>
    <row r="2262">
      <c r="A2262" s="0" t="s">
        <v>5290</v>
      </c>
      <c r="B2262" s="0" t="s">
        <v>5291</v>
      </c>
      <c r="C2262" s="0" t="s">
        <v>71</v>
      </c>
      <c r="D2262" s="0">
        <f dt2D="0" dtr="0">HYPERLINK("https://www.icra.in/Rating/RatingDetails?CompanyId=0&amp;CompanyName=Siddhraj Infrabuild Pvt. Ltd.", "Rationale")</f>
        <v/>
      </c>
    </row>
    <row r="2263">
      <c r="A2263" s="0" t="s">
        <v>5292</v>
      </c>
      <c r="B2263" s="0" t="s">
        <v>5293</v>
      </c>
      <c r="C2263" s="0" t="s">
        <v>699</v>
      </c>
      <c r="D2263" s="0">
        <f dt2D="0" dtr="0">HYPERLINK("https://www.icra.in/Rating/RatingDetails?CompanyId=0&amp;CompanyName=Siddipet Municipality", "Rationale")</f>
        <v/>
      </c>
    </row>
    <row r="2264">
      <c r="A2264" s="0" t="s">
        <v>5294</v>
      </c>
      <c r="B2264" s="0" t="s">
        <v>5295</v>
      </c>
      <c r="C2264" s="0" t="s">
        <v>5296</v>
      </c>
      <c r="D2264" s="0">
        <f dt2D="0" dtr="0">HYPERLINK("https://www.icra.in/Rating/RatingDetails?CompanyId=0&amp;CompanyName=Sidhi Binayak Infrastructure Private Limited (Formerly known as Sidhi Binayak Infrastructure)", "Rationale")</f>
        <v/>
      </c>
    </row>
    <row r="2265">
      <c r="A2265" s="0" t="s">
        <v>5297</v>
      </c>
      <c r="B2265" s="0" t="s">
        <v>5298</v>
      </c>
      <c r="C2265" s="0" t="s">
        <v>1888</v>
      </c>
      <c r="D2265" s="0">
        <f dt2D="0" dtr="0">HYPERLINK("https://www.icra.in/Rating/RatingDetails?CompanyId=0&amp;CompanyName=Sidwin Fabric Private Limited", "Rationale")</f>
        <v/>
      </c>
    </row>
    <row r="2266">
      <c r="A2266" s="0" t="s">
        <v>5299</v>
      </c>
      <c r="B2266" s="0" t="s">
        <v>5300</v>
      </c>
      <c r="C2266" s="0" t="s">
        <v>578</v>
      </c>
      <c r="D2266" s="0">
        <f dt2D="0" dtr="0">HYPERLINK("https://www.icra.in/Rating/RatingDetails?CompanyId=0&amp;CompanyName=Siesta Hospitality Services Limited", "Rationale")</f>
        <v/>
      </c>
    </row>
    <row r="2267">
      <c r="A2267" s="0" t="s">
        <v>5301</v>
      </c>
      <c r="B2267" s="0" t="s">
        <v>5302</v>
      </c>
      <c r="C2267" s="0" t="s">
        <v>1201</v>
      </c>
      <c r="D2267" s="0">
        <f dt2D="0" dtr="0">HYPERLINK("https://www.icra.in/Rating/RatingDetails?CompanyId=0&amp;CompanyName=Siewert and Dholakia Overseas Private Limited", "Rationale")</f>
        <v/>
      </c>
    </row>
    <row r="2268">
      <c r="A2268" s="0" t="s">
        <v>5303</v>
      </c>
      <c r="B2268" s="0" t="s">
        <v>5304</v>
      </c>
      <c r="C2268" s="0" t="s">
        <v>50</v>
      </c>
      <c r="D2268" s="0">
        <f dt2D="0" dtr="0">HYPERLINK("https://www.icra.in/Rating/RatingDetails?CompanyId=0&amp;CompanyName=Sigma Chemicals", "Rationale")</f>
        <v/>
      </c>
    </row>
    <row r="2269">
      <c r="A2269" s="0" t="s">
        <v>5305</v>
      </c>
      <c r="B2269" s="0" t="s">
        <v>5306</v>
      </c>
      <c r="C2269" s="0" t="s">
        <v>1808</v>
      </c>
      <c r="D2269" s="0">
        <f dt2D="0" dtr="0">HYPERLINK("https://www.icra.in/Rating/RatingDetails?CompanyId=0&amp;CompanyName=Sigma Chemtrade Private Limited", "Rationale")</f>
        <v/>
      </c>
    </row>
    <row r="2270">
      <c r="A2270" s="0" t="s">
        <v>5307</v>
      </c>
      <c r="B2270" s="0" t="s">
        <v>5308</v>
      </c>
      <c r="C2270" s="0" t="s">
        <v>5309</v>
      </c>
      <c r="D2270" s="0">
        <f dt2D="0" dtr="0">HYPERLINK("https://www.icra.in/Rating/RatingDetails?CompanyId=0&amp;CompanyName=Signature Ceramic Pvt. Ltd.", "Rationale")</f>
        <v/>
      </c>
    </row>
    <row r="2271">
      <c r="A2271" s="0" t="s">
        <v>5310</v>
      </c>
      <c r="B2271" s="0" t="s">
        <v>5311</v>
      </c>
      <c r="C2271" s="0" t="s">
        <v>5312</v>
      </c>
      <c r="D2271" s="0">
        <f dt2D="0" dtr="0">HYPERLINK("https://www.icra.in/Rating/RatingDetails?CompanyId=0&amp;CompanyName=Siksha 'O' Anusandhan", "Rationale")</f>
        <v/>
      </c>
    </row>
    <row r="2272">
      <c r="A2272" s="0" t="s">
        <v>5313</v>
      </c>
      <c r="B2272" s="0" t="s">
        <v>5314</v>
      </c>
      <c r="C2272" s="0" t="s">
        <v>2740</v>
      </c>
      <c r="D2272" s="0">
        <f dt2D="0" dtr="0">HYPERLINK("https://www.icra.in/Rating/RatingDetails?CompanyId=0&amp;CompanyName=Silver Cotton", "Rationale")</f>
        <v/>
      </c>
    </row>
    <row r="2273">
      <c r="A2273" s="0" t="s">
        <v>5315</v>
      </c>
      <c r="B2273" s="0" t="s">
        <v>5316</v>
      </c>
      <c r="C2273" s="0" t="s">
        <v>5317</v>
      </c>
      <c r="D2273" s="0">
        <f dt2D="0" dtr="0">HYPERLINK("https://www.icra.in/Rating/RatingDetails?CompanyId=0&amp;CompanyName=Silver Fab Suitings Private Limited", "Rationale")</f>
        <v/>
      </c>
    </row>
    <row r="2274">
      <c r="A2274" s="0" t="s">
        <v>5318</v>
      </c>
      <c r="B2274" s="0" t="s">
        <v>5319</v>
      </c>
      <c r="C2274" s="0" t="s">
        <v>2106</v>
      </c>
      <c r="D2274" s="0">
        <f dt2D="0" dtr="0">HYPERLINK("https://www.icra.in/Rating/RatingDetails?CompanyId=0&amp;CompanyName=Silverline Investments", "Rationale")</f>
        <v/>
      </c>
    </row>
    <row r="2275">
      <c r="A2275" s="0" t="s">
        <v>5320</v>
      </c>
      <c r="B2275" s="0" t="s">
        <v>5321</v>
      </c>
      <c r="C2275" s="0" t="s">
        <v>2395</v>
      </c>
      <c r="D2275" s="0">
        <f dt2D="0" dtr="0">HYPERLINK("https://www.icra.in/Rating/RatingDetails?CompanyId=0&amp;CompanyName=Simar Port Private Limited", "Rationale")</f>
        <v/>
      </c>
    </row>
    <row r="2276">
      <c r="A2276" s="0" t="s">
        <v>5322</v>
      </c>
      <c r="B2276" s="0" t="s">
        <v>5323</v>
      </c>
      <c r="C2276" s="0" t="s">
        <v>314</v>
      </c>
      <c r="D2276" s="0">
        <f dt2D="0" dtr="0">HYPERLINK("https://www.icra.in/Rating/RatingDetails?CompanyId=0&amp;CompanyName=Simhapuri Energy Limited (erstwhile Simhapuri Energy Pvt. Ltd.)", "Rationale")</f>
        <v/>
      </c>
    </row>
    <row r="2277">
      <c r="A2277" s="0" t="s">
        <v>5324</v>
      </c>
      <c r="B2277" s="0" t="s">
        <v>5325</v>
      </c>
      <c r="C2277" s="0" t="s">
        <v>5326</v>
      </c>
      <c r="D2277" s="0">
        <f dt2D="0" dtr="0">HYPERLINK("https://www.icra.in/Rating/RatingDetails?CompanyId=0&amp;CompanyName=Simola Tiles LLP", "Rationale")</f>
        <v/>
      </c>
    </row>
    <row r="2278">
      <c r="A2278" s="0" t="s">
        <v>5327</v>
      </c>
      <c r="B2278" s="0" t="s">
        <v>5328</v>
      </c>
      <c r="C2278" s="0" t="s">
        <v>1148</v>
      </c>
      <c r="D2278" s="0">
        <f dt2D="0" dtr="0">HYPERLINK("https://www.icra.in/Rating/RatingDetails?CompanyId=0&amp;CompanyName=Simola Vitrified Private limited", "Rationale")</f>
        <v/>
      </c>
    </row>
    <row r="2279">
      <c r="A2279" s="0" t="s">
        <v>5329</v>
      </c>
      <c r="B2279" s="0" t="s">
        <v>5330</v>
      </c>
      <c r="C2279" s="0" t="s">
        <v>5331</v>
      </c>
      <c r="D2279" s="0">
        <f dt2D="0" dtr="0">HYPERLINK("https://www.icra.in/Rating/RatingDetails?CompanyId=0&amp;CompanyName=Sindhu Cargo Services Private Limited", "Rationale")</f>
        <v/>
      </c>
    </row>
    <row r="2280">
      <c r="A2280" s="0" t="s">
        <v>5332</v>
      </c>
      <c r="B2280" s="0" t="s">
        <v>5333</v>
      </c>
      <c r="C2280" s="0" t="s">
        <v>3198</v>
      </c>
      <c r="D2280" s="0">
        <f dt2D="0" dtr="0">HYPERLINK("https://www.icra.in/Rating/RatingDetails?CompanyId=0&amp;CompanyName=Singh Hindustan Marine Private Limited", "Rationale")</f>
        <v/>
      </c>
    </row>
    <row r="2281">
      <c r="A2281" s="0" t="s">
        <v>5334</v>
      </c>
      <c r="B2281" s="0" t="s">
        <v>5335</v>
      </c>
      <c r="C2281" s="0" t="s">
        <v>822</v>
      </c>
      <c r="D2281" s="0">
        <f dt2D="0" dtr="0">HYPERLINK("https://www.icra.in/Rating/RatingDetails?CompanyId=0&amp;CompanyName=Singh Transporters", "Rationale")</f>
        <v/>
      </c>
    </row>
    <row r="2282">
      <c r="A2282" s="0" t="s">
        <v>5336</v>
      </c>
      <c r="B2282" s="0" t="s">
        <v>5337</v>
      </c>
      <c r="C2282" s="0" t="s">
        <v>103</v>
      </c>
      <c r="D2282" s="0">
        <f dt2D="0" dtr="0">HYPERLINK("https://www.icra.in/Rating/RatingDetails?CompanyId=0&amp;CompanyName=Singhal Strips Limited", "Rationale")</f>
        <v/>
      </c>
    </row>
    <row r="2283">
      <c r="A2283" s="0" t="s">
        <v>5338</v>
      </c>
      <c r="B2283" s="0" t="s">
        <v>5339</v>
      </c>
      <c r="C2283" s="0" t="s">
        <v>71</v>
      </c>
      <c r="D2283" s="0">
        <f dt2D="0" dtr="0">HYPERLINK("https://www.icra.in/Rating/RatingDetails?CompanyId=0&amp;CompanyName=Singhania Enterprises", "Rationale")</f>
        <v/>
      </c>
    </row>
    <row r="2284">
      <c r="A2284" s="0" t="s">
        <v>5340</v>
      </c>
      <c r="B2284" s="0" t="s">
        <v>5341</v>
      </c>
      <c r="C2284" s="0" t="s">
        <v>71</v>
      </c>
      <c r="D2284" s="0">
        <f dt2D="0" dtr="0">HYPERLINK("https://www.icra.in/Rating/RatingDetails?CompanyId=0&amp;CompanyName=Singla Rice Oil &amp; General Mills", "Rationale")</f>
        <v/>
      </c>
    </row>
    <row r="2285">
      <c r="A2285" s="0" t="s">
        <v>5342</v>
      </c>
      <c r="B2285" s="0" t="s">
        <v>5343</v>
      </c>
      <c r="C2285" s="0" t="s">
        <v>5344</v>
      </c>
      <c r="D2285" s="0">
        <f dt2D="0" dtr="0">HYPERLINK("https://www.icra.in/Rating/RatingDetails?CompanyId=0&amp;CompanyName=Sion Steels", "Rationale")</f>
        <v/>
      </c>
    </row>
    <row r="2286">
      <c r="A2286" s="0" t="s">
        <v>5345</v>
      </c>
      <c r="B2286" s="0" t="s">
        <v>5346</v>
      </c>
      <c r="C2286" s="0" t="s">
        <v>71</v>
      </c>
      <c r="D2286" s="0">
        <f dt2D="0" dtr="0">HYPERLINK("https://www.icra.in/Rating/RatingDetails?CompanyId=0&amp;CompanyName=Sipai Industries", "Rationale")</f>
        <v/>
      </c>
    </row>
    <row r="2287">
      <c r="A2287" s="0" t="s">
        <v>5347</v>
      </c>
      <c r="B2287" s="0" t="s">
        <v>5348</v>
      </c>
      <c r="C2287" s="0" t="s">
        <v>5349</v>
      </c>
      <c r="D2287" s="0">
        <f dt2D="0" dtr="0">HYPERLINK("https://www.icra.in/Rating/RatingDetails?CompanyId=0&amp;CompanyName=Sirwar Renewable Energy Private Limited", "Rationale")</f>
        <v/>
      </c>
    </row>
    <row r="2288">
      <c r="A2288" s="0" t="s">
        <v>5350</v>
      </c>
      <c r="B2288" s="0" t="s">
        <v>5351</v>
      </c>
      <c r="C2288" s="0" t="s">
        <v>1541</v>
      </c>
      <c r="D2288" s="0">
        <f dt2D="0" dtr="0">HYPERLINK("https://www.icra.in/Rating/RatingDetails?CompanyId=0&amp;CompanyName=Sita Polyweave Pvt. Ltd.", "Rationale")</f>
        <v/>
      </c>
    </row>
    <row r="2289">
      <c r="A2289" s="0" t="s">
        <v>5352</v>
      </c>
      <c r="B2289" s="0" t="s">
        <v>5353</v>
      </c>
      <c r="C2289" s="0" t="s">
        <v>1979</v>
      </c>
      <c r="D2289" s="0">
        <f dt2D="0" dtr="0">HYPERLINK("https://www.icra.in/Rating/RatingDetails?CompanyId=0&amp;CompanyName=Sita Ram International LLP", "Rationale")</f>
        <v/>
      </c>
    </row>
    <row r="2290">
      <c r="A2290" s="0" t="s">
        <v>5354</v>
      </c>
      <c r="B2290" s="0" t="s">
        <v>5355</v>
      </c>
      <c r="C2290" s="0" t="s">
        <v>5356</v>
      </c>
      <c r="D2290" s="0">
        <f dt2D="0" dtr="0">HYPERLINK("https://www.icra.in/Rating/RatingDetails?CompanyId=0&amp;CompanyName=Sitaram India Limited", "Rationale")</f>
        <v/>
      </c>
    </row>
    <row r="2291">
      <c r="A2291" s="0" t="s">
        <v>5357</v>
      </c>
      <c r="B2291" s="0" t="s">
        <v>5358</v>
      </c>
      <c r="C2291" s="0" t="s">
        <v>50</v>
      </c>
      <c r="D2291" s="0">
        <f dt2D="0" dtr="0">HYPERLINK("https://www.icra.in/Rating/RatingDetails?CompanyId=0&amp;CompanyName=Sitaram Maharaj Sakhar Karkhana (Khardi) Ltd", "Rationale")</f>
        <v/>
      </c>
    </row>
    <row r="2292">
      <c r="A2292" s="0" t="s">
        <v>5359</v>
      </c>
      <c r="B2292" s="0" t="s">
        <v>5360</v>
      </c>
      <c r="C2292" s="0" t="s">
        <v>2210</v>
      </c>
      <c r="D2292" s="0">
        <f dt2D="0" dtr="0">HYPERLINK("https://www.icra.in/Rating/RatingDetails?CompanyId=0&amp;CompanyName=Sivaani Agribusiness Private Limited", "Rationale")</f>
        <v/>
      </c>
    </row>
    <row r="2293">
      <c r="A2293" s="0" t="s">
        <v>5361</v>
      </c>
      <c r="B2293" s="0" t="s">
        <v>5362</v>
      </c>
      <c r="C2293" s="0" t="s">
        <v>1959</v>
      </c>
      <c r="D2293" s="0">
        <f dt2D="0" dtr="0">HYPERLINK("https://www.icra.in/Rating/RatingDetails?CompanyId=0&amp;CompanyName=Siyaram Metal Udyog Private Limited", "Rationale")</f>
        <v/>
      </c>
    </row>
    <row r="2294">
      <c r="A2294" s="0" t="s">
        <v>5363</v>
      </c>
      <c r="B2294" s="0" t="s">
        <v>5364</v>
      </c>
      <c r="C2294" s="0" t="s">
        <v>5365</v>
      </c>
      <c r="D2294" s="0">
        <f dt2D="0" dtr="0">HYPERLINK("https://www.icra.in/Rating/RatingDetails?CompanyId=0&amp;CompanyName=SJVN Thermal Private Limited", "Rationale")</f>
        <v/>
      </c>
    </row>
    <row r="2295">
      <c r="A2295" s="0" t="s">
        <v>5366</v>
      </c>
      <c r="B2295" s="0" t="s">
        <v>5367</v>
      </c>
      <c r="C2295" s="0" t="s">
        <v>74</v>
      </c>
      <c r="D2295" s="0">
        <f dt2D="0" dtr="0">HYPERLINK("https://www.icra.in/Rating/RatingDetails?CompanyId=0&amp;CompanyName=SKD Realty LLP", "Rationale")</f>
        <v/>
      </c>
    </row>
    <row r="2296">
      <c r="A2296" s="0" t="s">
        <v>5368</v>
      </c>
      <c r="B2296" s="0" t="s">
        <v>5369</v>
      </c>
      <c r="C2296" s="0" t="s">
        <v>3153</v>
      </c>
      <c r="D2296" s="0">
        <f dt2D="0" dtr="0">HYPERLINK("https://www.icra.in/Rating/RatingDetails?CompanyId=0&amp;CompanyName=SKM Industries", "Rationale")</f>
        <v/>
      </c>
    </row>
    <row r="2297">
      <c r="A2297" s="0" t="s">
        <v>5370</v>
      </c>
      <c r="B2297" s="0" t="s">
        <v>5371</v>
      </c>
      <c r="C2297" s="0" t="s">
        <v>421</v>
      </c>
      <c r="D2297" s="0">
        <f dt2D="0" dtr="0">HYPERLINK("https://www.icra.in/Rating/RatingDetails?CompanyId=0&amp;CompanyName=SKS Power Generation (Chhattisgarh) Limited", "Rationale")</f>
        <v/>
      </c>
    </row>
    <row r="2298">
      <c r="A2298" s="0" t="s">
        <v>5372</v>
      </c>
      <c r="B2298" s="0" t="s">
        <v>5373</v>
      </c>
      <c r="C2298" s="0" t="s">
        <v>4113</v>
      </c>
      <c r="D2298" s="0">
        <f dt2D="0" dtr="0">HYPERLINK("https://www.icra.in/Rating/RatingDetails?CompanyId=0&amp;CompanyName=Skyla Hospitality Pvt. Ltd.", "Rationale")</f>
        <v/>
      </c>
    </row>
    <row r="2299">
      <c r="A2299" s="0" t="s">
        <v>5374</v>
      </c>
      <c r="B2299" s="0" t="s">
        <v>5375</v>
      </c>
      <c r="C2299" s="0" t="s">
        <v>5253</v>
      </c>
      <c r="D2299" s="0">
        <f dt2D="0" dtr="0">HYPERLINK("https://www.icra.in/Rating/RatingDetails?CompanyId=0&amp;CompanyName=Skyline Foundations and Structures Private Limited", "Rationale")</f>
        <v/>
      </c>
    </row>
    <row r="2300">
      <c r="A2300" s="0" t="s">
        <v>5376</v>
      </c>
      <c r="B2300" s="0" t="s">
        <v>5377</v>
      </c>
      <c r="C2300" s="0" t="s">
        <v>2223</v>
      </c>
      <c r="D2300" s="0">
        <f dt2D="0" dtr="0">HYPERLINK("https://www.icra.in/Rating/RatingDetails?CompanyId=0&amp;CompanyName=SLN CNC Tech Pvt. Ltd.", "Rationale")</f>
        <v/>
      </c>
    </row>
    <row r="2301">
      <c r="A2301" s="0" t="s">
        <v>5378</v>
      </c>
      <c r="B2301" s="0" t="s">
        <v>5379</v>
      </c>
      <c r="C2301" s="0" t="s">
        <v>3780</v>
      </c>
      <c r="D2301" s="0">
        <f dt2D="0" dtr="0">HYPERLINK("https://www.icra.in/Rating/RatingDetails?CompanyId=0&amp;CompanyName=SLN Rice Industries", "Rationale")</f>
        <v/>
      </c>
    </row>
    <row r="2302">
      <c r="A2302" s="0" t="s">
        <v>5380</v>
      </c>
      <c r="B2302" s="0" t="s">
        <v>5381</v>
      </c>
      <c r="C2302" s="0" t="s">
        <v>4992</v>
      </c>
      <c r="D2302" s="0">
        <f dt2D="0" dtr="0">HYPERLINK("https://www.icra.in/Rating/RatingDetails?CompanyId=0&amp;CompanyName=Slv Power Pvt Ltd", "Rationale")</f>
        <v/>
      </c>
    </row>
    <row r="2303">
      <c r="A2303" s="0" t="s">
        <v>5382</v>
      </c>
      <c r="B2303" s="0" t="s">
        <v>5383</v>
      </c>
      <c r="C2303" s="0" t="s">
        <v>1466</v>
      </c>
      <c r="D2303" s="0">
        <f dt2D="0" dtr="0">HYPERLINK("https://www.icra.in/Rating/RatingDetails?CompanyId=0&amp;CompanyName=SM LPG Cylinders Private Limited", "Rationale")</f>
        <v/>
      </c>
    </row>
    <row r="2304">
      <c r="A2304" s="0" t="s">
        <v>5384</v>
      </c>
      <c r="B2304" s="0" t="s">
        <v>5385</v>
      </c>
      <c r="C2304" s="0" t="s">
        <v>71</v>
      </c>
      <c r="D2304" s="0">
        <f dt2D="0" dtr="0">HYPERLINK("https://www.icra.in/Rating/RatingDetails?CompanyId=0&amp;CompanyName=Smile Ceramic", "Rationale")</f>
        <v/>
      </c>
    </row>
    <row r="2305">
      <c r="A2305" s="0" t="s">
        <v>5386</v>
      </c>
      <c r="B2305" s="0" t="s">
        <v>5387</v>
      </c>
      <c r="C2305" s="0" t="s">
        <v>2166</v>
      </c>
      <c r="D2305" s="0">
        <f dt2D="0" dtr="0">HYPERLINK("https://www.icra.in/Rating/RatingDetails?CompanyId=0&amp;CompanyName=Smile Interiors Pvt. Ltd.", "Rationale")</f>
        <v/>
      </c>
    </row>
    <row r="2306">
      <c r="A2306" s="0" t="s">
        <v>5388</v>
      </c>
      <c r="B2306" s="0" t="s">
        <v>5389</v>
      </c>
      <c r="C2306" s="0" t="s">
        <v>5390</v>
      </c>
      <c r="D2306" s="0">
        <f dt2D="0" dtr="0">HYPERLINK("https://www.icra.in/Rating/RatingDetails?CompanyId=0&amp;CompanyName=Sms Constructions", "Rationale")</f>
        <v/>
      </c>
    </row>
    <row r="2307">
      <c r="A2307" s="0" t="s">
        <v>5391</v>
      </c>
      <c r="B2307" s="0" t="s">
        <v>5392</v>
      </c>
      <c r="C2307" s="0" t="s">
        <v>71</v>
      </c>
      <c r="D2307" s="0">
        <f dt2D="0" dtr="0">HYPERLINK("https://www.icra.in/Rating/RatingDetails?CompanyId=0&amp;CompanyName=SMS9 Agro Oils LLP", "Rationale")</f>
        <v/>
      </c>
    </row>
    <row r="2308">
      <c r="A2308" s="0" t="s">
        <v>5393</v>
      </c>
      <c r="B2308" s="0" t="s">
        <v>5394</v>
      </c>
      <c r="C2308" s="0" t="s">
        <v>5395</v>
      </c>
      <c r="D2308" s="0">
        <f dt2D="0" dtr="0">HYPERLINK("https://www.icra.in/Rating/RatingDetails?CompanyId=0&amp;CompanyName=Snam Abrasives Private Limited", "Rationale")</f>
        <v/>
      </c>
    </row>
    <row r="2309">
      <c r="A2309" s="0" t="s">
        <v>5396</v>
      </c>
      <c r="B2309" s="0" t="s">
        <v>5397</v>
      </c>
      <c r="C2309" s="0" t="s">
        <v>5398</v>
      </c>
      <c r="D2309" s="0">
        <f dt2D="0" dtr="0">HYPERLINK("https://www.icra.in/Rating/RatingDetails?CompanyId=0&amp;CompanyName=SNN Builders Private Limited", "Rationale")</f>
        <v/>
      </c>
    </row>
    <row r="2310">
      <c r="A2310" s="0" t="s">
        <v>5399</v>
      </c>
      <c r="B2310" s="0" t="s">
        <v>5400</v>
      </c>
      <c r="C2310" s="0" t="s">
        <v>873</v>
      </c>
      <c r="D2310" s="0">
        <f dt2D="0" dtr="0">HYPERLINK("https://www.icra.in/Rating/RatingDetails?CompanyId=0&amp;CompanyName=Society Of Green Makers Private Limited", "Rationale")</f>
        <v/>
      </c>
    </row>
    <row r="2311">
      <c r="A2311" s="0" t="s">
        <v>5401</v>
      </c>
      <c r="B2311" s="0" t="s">
        <v>5402</v>
      </c>
      <c r="C2311" s="0" t="s">
        <v>5403</v>
      </c>
      <c r="D2311" s="0">
        <f dt2D="0" dtr="0">HYPERLINK("https://www.icra.in/Rating/RatingDetails?CompanyId=0&amp;CompanyName=Sohanlal Laxminarayan", "Rationale")</f>
        <v/>
      </c>
    </row>
    <row r="2312">
      <c r="A2312" s="0" t="s">
        <v>5404</v>
      </c>
      <c r="B2312" s="0" t="s">
        <v>5405</v>
      </c>
      <c r="C2312" s="0" t="s">
        <v>5406</v>
      </c>
      <c r="D2312" s="0">
        <f dt2D="0" dtr="0">HYPERLINK("https://www.icra.in/Rating/RatingDetails?CompanyId=0&amp;CompanyName=Solar Idea Private Limited", "Rationale")</f>
        <v/>
      </c>
    </row>
    <row r="2313">
      <c r="A2313" s="0" t="s">
        <v>5407</v>
      </c>
      <c r="B2313" s="0" t="s">
        <v>5408</v>
      </c>
      <c r="C2313" s="0" t="s">
        <v>71</v>
      </c>
      <c r="D2313" s="0">
        <f dt2D="0" dtr="0">HYPERLINK("https://www.icra.in/Rating/RatingDetails?CompanyId=0&amp;CompanyName=Solid State Systems Private Limited", "Rationale")</f>
        <v/>
      </c>
    </row>
    <row r="2314">
      <c r="A2314" s="0" t="s">
        <v>5409</v>
      </c>
      <c r="B2314" s="0" t="s">
        <v>5410</v>
      </c>
      <c r="C2314" s="0" t="s">
        <v>71</v>
      </c>
      <c r="D2314" s="0">
        <f dt2D="0" dtr="0">HYPERLINK("https://www.icra.in/Rating/RatingDetails?CompanyId=0&amp;CompanyName=Solidus Hi -Tech Products Private Limited", "Rationale")</f>
        <v/>
      </c>
    </row>
    <row r="2315">
      <c r="A2315" s="0" t="s">
        <v>5411</v>
      </c>
      <c r="B2315" s="0" t="s">
        <v>5412</v>
      </c>
      <c r="C2315" s="0" t="s">
        <v>3404</v>
      </c>
      <c r="D2315" s="0">
        <f dt2D="0" dtr="0">HYPERLINK("https://www.icra.in/Rating/RatingDetails?CompanyId=0&amp;CompanyName=Soma Nutrition Labs Private Limited", "Rationale")</f>
        <v/>
      </c>
    </row>
    <row r="2316">
      <c r="A2316" s="0" t="s">
        <v>5413</v>
      </c>
      <c r="B2316" s="0" t="s">
        <v>5414</v>
      </c>
      <c r="C2316" s="0" t="s">
        <v>5415</v>
      </c>
      <c r="D2316" s="0">
        <f dt2D="0" dtr="0">HYPERLINK("https://www.icra.in/Rating/RatingDetails?CompanyId=0&amp;CompanyName=Somatheeram Ayurvedic Hospital and Yoga Centre Private Limited", "Rationale")</f>
        <v/>
      </c>
    </row>
    <row r="2317">
      <c r="A2317" s="0" t="s">
        <v>5416</v>
      </c>
      <c r="B2317" s="0" t="s">
        <v>5417</v>
      </c>
      <c r="C2317" s="0" t="s">
        <v>4122</v>
      </c>
      <c r="D2317" s="0">
        <f dt2D="0" dtr="0">HYPERLINK("https://www.icra.in/Rating/RatingDetails?CompanyId=0&amp;CompanyName=Sona Processors (India) Limited", "Rationale")</f>
        <v/>
      </c>
    </row>
    <row r="2318">
      <c r="A2318" s="0" t="s">
        <v>5418</v>
      </c>
      <c r="B2318" s="0" t="s">
        <v>5419</v>
      </c>
      <c r="C2318" s="0" t="s">
        <v>852</v>
      </c>
      <c r="D2318" s="0">
        <f dt2D="0" dtr="0">HYPERLINK("https://www.icra.in/Rating/RatingDetails?CompanyId=0&amp;CompanyName=Sonal Vyapar Private Limited", "Rationale")</f>
        <v/>
      </c>
    </row>
    <row r="2319">
      <c r="A2319" s="0" t="s">
        <v>5420</v>
      </c>
      <c r="B2319" s="0" t="s">
        <v>5421</v>
      </c>
      <c r="C2319" s="0" t="s">
        <v>59</v>
      </c>
      <c r="D2319" s="0">
        <f dt2D="0" dtr="0">HYPERLINK("https://www.icra.in/Rating/RatingDetails?CompanyId=0&amp;CompanyName=Sonapur Herbal Centre Private Limited", "Rationale")</f>
        <v/>
      </c>
    </row>
    <row r="2320">
      <c r="A2320" s="0" t="s">
        <v>5422</v>
      </c>
      <c r="B2320" s="0" t="s">
        <v>5423</v>
      </c>
      <c r="C2320" s="0" t="s">
        <v>2266</v>
      </c>
      <c r="D2320" s="0">
        <f dt2D="0" dtr="0">HYPERLINK("https://www.icra.in/Rating/RatingDetails?CompanyId=0&amp;CompanyName=Soneri Marine Foods", "Rationale")</f>
        <v/>
      </c>
    </row>
    <row r="2321">
      <c r="A2321" s="0" t="s">
        <v>5424</v>
      </c>
      <c r="B2321" s="0" t="s">
        <v>5425</v>
      </c>
      <c r="C2321" s="0" t="s">
        <v>511</v>
      </c>
      <c r="D2321" s="0">
        <f dt2D="0" dtr="0">HYPERLINK("https://www.icra.in/Rating/RatingDetails?CompanyId=0&amp;CompanyName=Sonex Industries", "Rationale")</f>
        <v/>
      </c>
    </row>
    <row r="2322">
      <c r="A2322" s="0" t="s">
        <v>5426</v>
      </c>
      <c r="B2322" s="0" t="s">
        <v>5427</v>
      </c>
      <c r="C2322" s="0" t="s">
        <v>4714</v>
      </c>
      <c r="D2322" s="0">
        <f dt2D="0" dtr="0">HYPERLINK("https://www.icra.in/Rating/RatingDetails?CompanyId=0&amp;CompanyName=Sonhira Sahakari Sakhar Karkhana Ltd.", "Rationale")</f>
        <v/>
      </c>
    </row>
    <row r="2323">
      <c r="A2323" s="0" t="s">
        <v>5428</v>
      </c>
      <c r="B2323" s="0" t="s">
        <v>5429</v>
      </c>
      <c r="C2323" s="0" t="s">
        <v>369</v>
      </c>
      <c r="D2323" s="0">
        <f dt2D="0" dtr="0">HYPERLINK("https://www.icra.in/Rating/RatingDetails?CompanyId=0&amp;CompanyName=Sonrise Tea Processing Company Private Limited", "Rationale")</f>
        <v/>
      </c>
    </row>
    <row r="2324">
      <c r="A2324" s="0" t="s">
        <v>5430</v>
      </c>
      <c r="B2324" s="0" t="s">
        <v>5431</v>
      </c>
      <c r="C2324" s="0" t="s">
        <v>87</v>
      </c>
      <c r="D2324" s="0">
        <f dt2D="0" dtr="0">HYPERLINK("https://www.icra.in/Rating/RatingDetails?CompanyId=0&amp;CompanyName=Southern Agencies", "Rationale")</f>
        <v/>
      </c>
    </row>
    <row r="2325">
      <c r="A2325" s="0" t="s">
        <v>5432</v>
      </c>
      <c r="B2325" s="0" t="s">
        <v>5433</v>
      </c>
      <c r="C2325" s="0" t="s">
        <v>71</v>
      </c>
      <c r="D2325" s="0">
        <f dt2D="0" dtr="0">HYPERLINK("https://www.icra.in/Rating/RatingDetails?CompanyId=0&amp;CompanyName=Southern Power Equipment Company Private Limited", "Rationale")</f>
        <v/>
      </c>
    </row>
    <row r="2326">
      <c r="A2326" s="0" t="s">
        <v>5434</v>
      </c>
      <c r="B2326" s="0" t="s">
        <v>5435</v>
      </c>
      <c r="C2326" s="0" t="s">
        <v>430</v>
      </c>
      <c r="D2326" s="0">
        <f dt2D="0" dtr="0">HYPERLINK("https://www.icra.in/Rating/RatingDetails?CompanyId=0&amp;CompanyName=Sowparnika Projects And Infrastructure Private Limited", "Rationale")</f>
        <v/>
      </c>
    </row>
    <row r="2327">
      <c r="A2327" s="0" t="s">
        <v>5436</v>
      </c>
      <c r="B2327" s="0" t="s">
        <v>5437</v>
      </c>
      <c r="C2327" s="0" t="s">
        <v>1572</v>
      </c>
      <c r="D2327" s="0">
        <f dt2D="0" dtr="0">HYPERLINK("https://www.icra.in/Rating/RatingDetails?CompanyId=0&amp;CompanyName=Sparron Vitrified Llp", "Rationale")</f>
        <v/>
      </c>
    </row>
    <row r="2328">
      <c r="A2328" s="0" t="s">
        <v>5438</v>
      </c>
      <c r="B2328" s="0" t="s">
        <v>5439</v>
      </c>
      <c r="C2328" s="0" t="s">
        <v>21</v>
      </c>
      <c r="D2328" s="0">
        <f dt2D="0" dtr="0">HYPERLINK("https://www.icra.in/Rating/RatingDetails?CompanyId=0&amp;CompanyName=SPD Cold Storage LLP", "Rationale")</f>
        <v/>
      </c>
    </row>
    <row r="2329">
      <c r="A2329" s="0" t="s">
        <v>5440</v>
      </c>
      <c r="B2329" s="0" t="s">
        <v>5441</v>
      </c>
      <c r="C2329" s="0" t="s">
        <v>39</v>
      </c>
      <c r="D2329" s="0">
        <f dt2D="0" dtr="0">HYPERLINK("https://www.icra.in/Rating/RatingDetails?CompanyId=0&amp;CompanyName=SPDD Infra Pvt Ltd", "Rationale")</f>
        <v/>
      </c>
    </row>
    <row r="2330">
      <c r="A2330" s="0" t="s">
        <v>5442</v>
      </c>
      <c r="B2330" s="0" t="s">
        <v>5443</v>
      </c>
      <c r="C2330" s="0" t="s">
        <v>3083</v>
      </c>
      <c r="D2330" s="0">
        <f dt2D="0" dtr="0">HYPERLINK("https://www.icra.in/Rating/RatingDetails?CompanyId=0&amp;CompanyName=Speciality Polymers Private Limited", "Rationale")</f>
        <v/>
      </c>
    </row>
    <row r="2331">
      <c r="A2331" s="0" t="s">
        <v>5444</v>
      </c>
      <c r="B2331" s="0" t="s">
        <v>5445</v>
      </c>
      <c r="C2331" s="0" t="s">
        <v>3198</v>
      </c>
      <c r="D2331" s="0">
        <f dt2D="0" dtr="0">HYPERLINK("https://www.icra.in/Rating/RatingDetails?CompanyId=0&amp;CompanyName=Spectra Auto", "Rationale")</f>
        <v/>
      </c>
    </row>
    <row r="2332">
      <c r="A2332" s="0" t="s">
        <v>5446</v>
      </c>
      <c r="B2332" s="0" t="s">
        <v>5447</v>
      </c>
      <c r="C2332" s="0" t="s">
        <v>1212</v>
      </c>
      <c r="D2332" s="0">
        <f dt2D="0" dtr="0">HYPERLINK("https://www.icra.in/Rating/RatingDetails?CompanyId=0&amp;CompanyName=Spica Projects And Infrastructures Pvt. Ltd.", "Rationale")</f>
        <v/>
      </c>
    </row>
    <row r="2333">
      <c r="A2333" s="0" t="s">
        <v>5448</v>
      </c>
      <c r="B2333" s="0" t="s">
        <v>5449</v>
      </c>
      <c r="C2333" s="0" t="s">
        <v>6</v>
      </c>
      <c r="D2333" s="0">
        <f dt2D="0" dtr="0">HYPERLINK("https://www.icra.in/Rating/RatingDetails?CompanyId=0&amp;CompanyName=Spice Islands Apparels Limited", "Rationale")</f>
        <v/>
      </c>
    </row>
    <row r="2334">
      <c r="A2334" s="0" t="s">
        <v>5450</v>
      </c>
      <c r="B2334" s="0" t="s">
        <v>5451</v>
      </c>
      <c r="C2334" s="0" t="s">
        <v>1753</v>
      </c>
      <c r="D2334" s="0">
        <f dt2D="0" dtr="0">HYPERLINK("https://www.icra.in/Rating/RatingDetails?CompanyId=0&amp;CompanyName=Spinel Microns", "Rationale")</f>
        <v/>
      </c>
    </row>
    <row r="2335">
      <c r="A2335" s="0" t="s">
        <v>5452</v>
      </c>
      <c r="B2335" s="0" t="s">
        <v>5453</v>
      </c>
      <c r="C2335" s="0" t="s">
        <v>514</v>
      </c>
      <c r="D2335" s="0">
        <f dt2D="0" dtr="0">HYPERLINK("https://www.icra.in/Rating/RatingDetails?CompanyId=0&amp;CompanyName=Sravan Ftwz Private Limited", "Rationale")</f>
        <v/>
      </c>
    </row>
    <row r="2336">
      <c r="A2336" s="0" t="s">
        <v>5454</v>
      </c>
      <c r="B2336" s="0" t="s">
        <v>5455</v>
      </c>
      <c r="C2336" s="0" t="s">
        <v>217</v>
      </c>
      <c r="D2336" s="0">
        <f dt2D="0" dtr="0">HYPERLINK("https://www.icra.in/Rating/RatingDetails?CompanyId=0&amp;CompanyName=SRC Chemicals Private Limited", "Rationale")</f>
        <v/>
      </c>
    </row>
    <row r="2337">
      <c r="A2337" s="0" t="s">
        <v>5456</v>
      </c>
      <c r="B2337" s="0" t="s">
        <v>5457</v>
      </c>
      <c r="C2337" s="0" t="s">
        <v>106</v>
      </c>
      <c r="D2337" s="0">
        <f dt2D="0" dtr="0">HYPERLINK("https://www.icra.in/Rating/RatingDetails?CompanyId=0&amp;CompanyName=Sre Venkatachalapathy Textiles", "Rationale")</f>
        <v/>
      </c>
    </row>
    <row r="2338">
      <c r="A2338" s="0" t="s">
        <v>5458</v>
      </c>
      <c r="B2338" s="0" t="s">
        <v>5459</v>
      </c>
      <c r="C2338" s="0" t="s">
        <v>3137</v>
      </c>
      <c r="D2338" s="0">
        <f dt2D="0" dtr="0">HYPERLINK("https://www.icra.in/Rating/RatingDetails?CompanyId=0&amp;CompanyName=Sree Arulmani Exports", "Rationale")</f>
        <v/>
      </c>
    </row>
    <row r="2339">
      <c r="A2339" s="0" t="s">
        <v>5460</v>
      </c>
      <c r="B2339" s="0" t="s">
        <v>5461</v>
      </c>
      <c r="C2339" s="0" t="s">
        <v>2255</v>
      </c>
      <c r="D2339" s="0">
        <f dt2D="0" dtr="0">HYPERLINK("https://www.icra.in/Rating/RatingDetails?CompanyId=0&amp;CompanyName=Sree Chaitanya Corporation Pvt. Ltd.", "Rationale")</f>
        <v/>
      </c>
    </row>
    <row r="2340">
      <c r="A2340" s="0" t="s">
        <v>5462</v>
      </c>
      <c r="B2340" s="0" t="s">
        <v>5463</v>
      </c>
      <c r="C2340" s="0" t="s">
        <v>324</v>
      </c>
      <c r="D2340" s="0">
        <f dt2D="0" dtr="0">HYPERLINK("https://www.icra.in/Rating/RatingDetails?CompanyId=0&amp;CompanyName=Sree Geethanjali Constructions", "Rationale")</f>
        <v/>
      </c>
    </row>
    <row r="2341">
      <c r="A2341" s="0" t="s">
        <v>5464</v>
      </c>
      <c r="B2341" s="0" t="s">
        <v>5465</v>
      </c>
      <c r="C2341" s="0" t="s">
        <v>1541</v>
      </c>
      <c r="D2341" s="0">
        <f dt2D="0" dtr="0">HYPERLINK("https://www.icra.in/Rating/RatingDetails?CompanyId=0&amp;CompanyName=Sree Jeyasoundharam Textile Mills Private Limited", "Rationale")</f>
        <v/>
      </c>
    </row>
    <row r="2342">
      <c r="A2342" s="0" t="s">
        <v>5466</v>
      </c>
      <c r="B2342" s="0" t="s">
        <v>5467</v>
      </c>
      <c r="C2342" s="0" t="s">
        <v>180</v>
      </c>
      <c r="D2342" s="0">
        <f dt2D="0" dtr="0">HYPERLINK("https://www.icra.in/Rating/RatingDetails?CompanyId=0&amp;CompanyName=Sree Kamakshi Raw And Boiled Rice Mill", "Rationale")</f>
        <v/>
      </c>
    </row>
    <row r="2343">
      <c r="A2343" s="0" t="s">
        <v>5468</v>
      </c>
      <c r="B2343" s="0" t="s">
        <v>5469</v>
      </c>
      <c r="C2343" s="0" t="s">
        <v>5470</v>
      </c>
      <c r="D2343" s="0">
        <f dt2D="0" dtr="0">HYPERLINK("https://www.icra.in/Rating/RatingDetails?CompanyId=0&amp;CompanyName=Sree Kiran Enterprises", "Rationale")</f>
        <v/>
      </c>
    </row>
    <row r="2344">
      <c r="A2344" s="0" t="s">
        <v>5471</v>
      </c>
      <c r="B2344" s="0" t="s">
        <v>5472</v>
      </c>
      <c r="C2344" s="0" t="s">
        <v>5473</v>
      </c>
      <c r="D2344" s="0">
        <f dt2D="0" dtr="0">HYPERLINK("https://www.icra.in/Rating/RatingDetails?CompanyId=0&amp;CompanyName=Sree Lpg Private Limited", "Rationale")</f>
        <v/>
      </c>
    </row>
    <row r="2345">
      <c r="A2345" s="0" t="s">
        <v>5474</v>
      </c>
      <c r="B2345" s="0" t="s">
        <v>5475</v>
      </c>
      <c r="C2345" s="0" t="s">
        <v>4005</v>
      </c>
      <c r="D2345" s="0">
        <f dt2D="0" dtr="0">HYPERLINK("https://www.icra.in/Rating/RatingDetails?CompanyId=0&amp;CompanyName=Sree Siva Sankar Automobiles", "Rationale")</f>
        <v/>
      </c>
    </row>
    <row r="2346">
      <c r="A2346" s="0" t="s">
        <v>5476</v>
      </c>
      <c r="B2346" s="0" t="s">
        <v>5477</v>
      </c>
      <c r="C2346" s="0" t="s">
        <v>5478</v>
      </c>
      <c r="D2346" s="0">
        <f dt2D="0" dtr="0">HYPERLINK("https://www.icra.in/Rating/RatingDetails?CompanyId=0&amp;CompanyName=Sree Sudheer Ceramics Private Limited", "Rationale")</f>
        <v/>
      </c>
    </row>
    <row r="2347">
      <c r="A2347" s="0" t="s">
        <v>5479</v>
      </c>
      <c r="B2347" s="0" t="s">
        <v>5480</v>
      </c>
      <c r="C2347" s="0" t="s">
        <v>5481</v>
      </c>
      <c r="D2347" s="0">
        <f dt2D="0" dtr="0">HYPERLINK("https://www.icra.in/Rating/RatingDetails?CompanyId=0&amp;CompanyName=Sree Venkata Sreedevi Power LLP", "Rationale")</f>
        <v/>
      </c>
    </row>
    <row r="2348">
      <c r="A2348" s="0" t="s">
        <v>5482</v>
      </c>
      <c r="B2348" s="0" t="s">
        <v>5483</v>
      </c>
      <c r="C2348" s="0" t="s">
        <v>497</v>
      </c>
      <c r="D2348" s="0">
        <f dt2D="0" dtr="0">HYPERLINK("https://www.icra.in/Rating/RatingDetails?CompanyId=0&amp;CompanyName=Sree Venkateshwara Motors (India) Private Limited", "Rationale")</f>
        <v/>
      </c>
    </row>
    <row r="2349">
      <c r="A2349" s="0" t="s">
        <v>5484</v>
      </c>
      <c r="B2349" s="0" t="s">
        <v>5485</v>
      </c>
      <c r="C2349" s="0" t="s">
        <v>1363</v>
      </c>
      <c r="D2349" s="0">
        <f dt2D="0" dtr="0">HYPERLINK("https://www.icra.in/Rating/RatingDetails?CompanyId=0&amp;CompanyName=Sree Viinayaka Rice Mill", "Rationale")</f>
        <v/>
      </c>
    </row>
    <row r="2350">
      <c r="A2350" s="0" t="s">
        <v>5486</v>
      </c>
      <c r="B2350" s="0" t="s">
        <v>5487</v>
      </c>
      <c r="C2350" s="0" t="s">
        <v>2409</v>
      </c>
      <c r="D2350" s="0">
        <f dt2D="0" dtr="0">HYPERLINK("https://www.icra.in/Rating/RatingDetails?CompanyId=0&amp;CompanyName=Sreelekshmi Cashew Enterprises Private Limited", "Rationale")</f>
        <v/>
      </c>
    </row>
    <row r="2351">
      <c r="A2351" s="0" t="s">
        <v>5488</v>
      </c>
      <c r="B2351" s="0" t="s">
        <v>5489</v>
      </c>
      <c r="C2351" s="0" t="s">
        <v>242</v>
      </c>
      <c r="D2351" s="0">
        <f dt2D="0" dtr="0">HYPERLINK("https://www.icra.in/Rating/RatingDetails?CompanyId=0&amp;CompanyName=Srg Spinning And Weaving Mills Private Limited", "Rationale")</f>
        <v/>
      </c>
    </row>
    <row r="2352">
      <c r="A2352" s="0" t="s">
        <v>5490</v>
      </c>
      <c r="B2352" s="0" t="s">
        <v>5491</v>
      </c>
      <c r="C2352" s="0" t="s">
        <v>983</v>
      </c>
      <c r="D2352" s="0">
        <f dt2D="0" dtr="0">HYPERLINK("https://www.icra.in/Rating/RatingDetails?CompanyId=0&amp;CompanyName=Sri Adhitya Polyfilms Pvt. Ltd.", "Rationale")</f>
        <v/>
      </c>
    </row>
    <row r="2353">
      <c r="A2353" s="0" t="s">
        <v>5492</v>
      </c>
      <c r="B2353" s="0" t="s">
        <v>5493</v>
      </c>
      <c r="C2353" s="0" t="s">
        <v>564</v>
      </c>
      <c r="D2353" s="0">
        <f dt2D="0" dtr="0">HYPERLINK("https://www.icra.in/Rating/RatingDetails?CompanyId=0&amp;CompanyName=Sri Adiparashakti Agro Tech", "Rationale")</f>
        <v/>
      </c>
    </row>
    <row r="2354">
      <c r="A2354" s="0" t="s">
        <v>5494</v>
      </c>
      <c r="B2354" s="0" t="s">
        <v>5495</v>
      </c>
      <c r="C2354" s="0" t="s">
        <v>2166</v>
      </c>
      <c r="D2354" s="0">
        <f dt2D="0" dtr="0">HYPERLINK("https://www.icra.in/Rating/RatingDetails?CompanyId=0&amp;CompanyName=Sri Balaji Agro Cold Storagge Llp", "Rationale")</f>
        <v/>
      </c>
    </row>
    <row r="2355">
      <c r="A2355" s="0" t="s">
        <v>5496</v>
      </c>
      <c r="B2355" s="0" t="s">
        <v>5497</v>
      </c>
      <c r="C2355" s="0" t="s">
        <v>1403</v>
      </c>
      <c r="D2355" s="0">
        <f dt2D="0" dtr="0">HYPERLINK("https://www.icra.in/Rating/RatingDetails?CompanyId=0&amp;CompanyName=Sri Balaji Constructions", "Rationale")</f>
        <v/>
      </c>
    </row>
    <row r="2356">
      <c r="A2356" s="0" t="s">
        <v>5498</v>
      </c>
      <c r="B2356" s="0" t="s">
        <v>5499</v>
      </c>
      <c r="C2356" s="0" t="s">
        <v>2390</v>
      </c>
      <c r="D2356" s="0">
        <f dt2D="0" dtr="0">HYPERLINK("https://www.icra.in/Rating/RatingDetails?CompanyId=0&amp;CompanyName=Sri Balaji Cotton Agro Industries, Adilabad", "Rationale")</f>
        <v/>
      </c>
    </row>
    <row r="2357">
      <c r="A2357" s="0" t="s">
        <v>5500</v>
      </c>
      <c r="B2357" s="0" t="s">
        <v>5501</v>
      </c>
      <c r="C2357" s="0" t="s">
        <v>1400</v>
      </c>
      <c r="D2357" s="0">
        <f dt2D="0" dtr="0">HYPERLINK("https://www.icra.in/Rating/RatingDetails?CompanyId=0&amp;CompanyName=Sri Balaji Educational &amp; Charitable Public Trust", "Rationale")</f>
        <v/>
      </c>
    </row>
    <row r="2358">
      <c r="A2358" s="0" t="s">
        <v>5502</v>
      </c>
      <c r="B2358" s="0" t="s">
        <v>5503</v>
      </c>
      <c r="C2358" s="0" t="s">
        <v>3153</v>
      </c>
      <c r="D2358" s="0">
        <f dt2D="0" dtr="0">HYPERLINK("https://www.icra.in/Rating/RatingDetails?CompanyId=0&amp;CompanyName=Sri Balaji Textiles", "Rationale")</f>
        <v/>
      </c>
    </row>
    <row r="2359">
      <c r="A2359" s="0" t="s">
        <v>5504</v>
      </c>
      <c r="B2359" s="0" t="s">
        <v>5505</v>
      </c>
      <c r="C2359" s="0" t="s">
        <v>2961</v>
      </c>
      <c r="D2359" s="0">
        <f dt2D="0" dtr="0">HYPERLINK("https://www.icra.in/Rating/RatingDetails?CompanyId=0&amp;CompanyName=Sri Buchiyyamma Rice Mill", "Rationale")</f>
        <v/>
      </c>
    </row>
    <row r="2360">
      <c r="A2360" s="0" t="s">
        <v>5506</v>
      </c>
      <c r="B2360" s="0" t="s">
        <v>5507</v>
      </c>
      <c r="C2360" s="0" t="s">
        <v>5508</v>
      </c>
      <c r="D2360" s="0">
        <f dt2D="0" dtr="0">HYPERLINK("https://www.icra.in/Rating/RatingDetails?CompanyId=0&amp;CompanyName=Sri Durga Maruthi Automotive Pvt. Ltd", "Rationale")</f>
        <v/>
      </c>
    </row>
    <row r="2361">
      <c r="A2361" s="0" t="s">
        <v>5509</v>
      </c>
      <c r="B2361" s="0" t="s">
        <v>5510</v>
      </c>
      <c r="C2361" s="0" t="s">
        <v>2758</v>
      </c>
      <c r="D2361" s="0">
        <f dt2D="0" dtr="0">HYPERLINK("https://www.icra.in/Rating/RatingDetails?CompanyId=0&amp;CompanyName=Sri Gopal Auto Centre", "Rationale")</f>
        <v/>
      </c>
    </row>
    <row r="2362">
      <c r="A2362" s="0" t="s">
        <v>5511</v>
      </c>
      <c r="B2362" s="0" t="s">
        <v>5512</v>
      </c>
      <c r="C2362" s="0" t="s">
        <v>2758</v>
      </c>
      <c r="D2362" s="0">
        <f dt2D="0" dtr="0">HYPERLINK("https://www.icra.in/Rating/RatingDetails?CompanyId=0&amp;CompanyName=Sri Gopal Auto Stores", "Rationale")</f>
        <v/>
      </c>
    </row>
    <row r="2363">
      <c r="A2363" s="0" t="s">
        <v>5513</v>
      </c>
      <c r="B2363" s="0" t="s">
        <v>5514</v>
      </c>
      <c r="C2363" s="0" t="s">
        <v>71</v>
      </c>
      <c r="D2363" s="0">
        <f dt2D="0" dtr="0">HYPERLINK("https://www.icra.in/Rating/RatingDetails?CompanyId=0&amp;CompanyName=Sri Janardhan Raw And Boiled Rice Mill", "Rationale")</f>
        <v/>
      </c>
    </row>
    <row r="2364">
      <c r="A2364" s="0" t="s">
        <v>5515</v>
      </c>
      <c r="B2364" s="0" t="s">
        <v>5516</v>
      </c>
      <c r="C2364" s="0" t="s">
        <v>5517</v>
      </c>
      <c r="D2364" s="0">
        <f dt2D="0" dtr="0">HYPERLINK("https://www.icra.in/Rating/RatingDetails?CompanyId=0&amp;CompanyName=Sri Jayalakshmi Automotives Pvt. Ltd", "Rationale")</f>
        <v/>
      </c>
    </row>
    <row r="2365">
      <c r="A2365" s="0" t="s">
        <v>5518</v>
      </c>
      <c r="B2365" s="0" t="s">
        <v>5519</v>
      </c>
      <c r="C2365" s="0" t="s">
        <v>5520</v>
      </c>
      <c r="D2365" s="0">
        <f dt2D="0" dtr="0">HYPERLINK("https://www.icra.in/Rating/RatingDetails?CompanyId=0&amp;CompanyName=Sri Jayarama Automotives Private Limited", "Rationale")</f>
        <v/>
      </c>
    </row>
    <row r="2366">
      <c r="A2366" s="0" t="s">
        <v>5521</v>
      </c>
      <c r="B2366" s="0" t="s">
        <v>5522</v>
      </c>
      <c r="C2366" s="0" t="s">
        <v>5520</v>
      </c>
      <c r="D2366" s="0">
        <f dt2D="0" dtr="0">HYPERLINK("https://www.icra.in/Rating/RatingDetails?CompanyId=0&amp;CompanyName=Sri Jayarama Motors Private Limited", "Rationale")</f>
        <v/>
      </c>
    </row>
    <row r="2367">
      <c r="A2367" s="0" t="s">
        <v>5523</v>
      </c>
      <c r="B2367" s="0" t="s">
        <v>5524</v>
      </c>
      <c r="C2367" s="0" t="s">
        <v>81</v>
      </c>
      <c r="D2367" s="0">
        <f dt2D="0" dtr="0">HYPERLINK("https://www.icra.in/Rating/RatingDetails?CompanyId=0&amp;CompanyName=Sri Jyoti Renewable Energy Pvt. Ltd.", "Rationale")</f>
        <v/>
      </c>
    </row>
    <row r="2368">
      <c r="A2368" s="0" t="s">
        <v>5525</v>
      </c>
      <c r="B2368" s="0" t="s">
        <v>5526</v>
      </c>
      <c r="C2368" s="0" t="s">
        <v>511</v>
      </c>
      <c r="D2368" s="0">
        <f dt2D="0" dtr="0">HYPERLINK("https://www.icra.in/Rating/RatingDetails?CompanyId=0&amp;CompanyName=Sri Kaleeswara Ginning Mills", "Rationale")</f>
        <v/>
      </c>
    </row>
    <row r="2369">
      <c r="A2369" s="0" t="s">
        <v>5527</v>
      </c>
      <c r="B2369" s="0" t="s">
        <v>5528</v>
      </c>
      <c r="C2369" s="0" t="s">
        <v>983</v>
      </c>
      <c r="D2369" s="0">
        <f dt2D="0" dtr="0">HYPERLINK("https://www.icra.in/Rating/RatingDetails?CompanyId=0&amp;CompanyName=Sri Karpaga Vinayagar Textiles", "Rationale")</f>
        <v/>
      </c>
    </row>
    <row r="2370">
      <c r="A2370" s="0" t="s">
        <v>5529</v>
      </c>
      <c r="B2370" s="0" t="s">
        <v>5530</v>
      </c>
      <c r="C2370" s="0" t="s">
        <v>5531</v>
      </c>
      <c r="D2370" s="0">
        <f dt2D="0" dtr="0">HYPERLINK("https://www.icra.in/Rating/RatingDetails?CompanyId=0&amp;CompanyName=Sri Karpagam Steels", "Rationale")</f>
        <v/>
      </c>
    </row>
    <row r="2371">
      <c r="A2371" s="0" t="s">
        <v>5532</v>
      </c>
      <c r="B2371" s="0" t="s">
        <v>5533</v>
      </c>
      <c r="C2371" s="0" t="s">
        <v>2685</v>
      </c>
      <c r="D2371" s="0">
        <f dt2D="0" dtr="0">HYPERLINK("https://www.icra.in/Rating/RatingDetails?CompanyId=0&amp;CompanyName=Sri Kodandarama Boiled &amp; Raw Rice Mill", "Rationale")</f>
        <v/>
      </c>
    </row>
    <row r="2372">
      <c r="A2372" s="0" t="s">
        <v>5534</v>
      </c>
      <c r="B2372" s="0" t="s">
        <v>5535</v>
      </c>
      <c r="C2372" s="0" t="s">
        <v>1111</v>
      </c>
      <c r="D2372" s="0">
        <f dt2D="0" dtr="0">HYPERLINK("https://www.icra.in/Rating/RatingDetails?CompanyId=0&amp;CompanyName=Sri Koduri Enterprises Private Limited", "Rationale")</f>
        <v/>
      </c>
    </row>
    <row r="2373">
      <c r="A2373" s="0" t="s">
        <v>5536</v>
      </c>
      <c r="B2373" s="0" t="s">
        <v>5537</v>
      </c>
      <c r="C2373" s="0" t="s">
        <v>1604</v>
      </c>
      <c r="D2373" s="0">
        <f dt2D="0" dtr="0">HYPERLINK("https://www.icra.in/Rating/RatingDetails?CompanyId=0&amp;CompanyName=Sri KPR Industries Limited", "Rationale")</f>
        <v/>
      </c>
    </row>
    <row r="2374">
      <c r="A2374" s="0" t="s">
        <v>5538</v>
      </c>
      <c r="B2374" s="0" t="s">
        <v>5539</v>
      </c>
      <c r="C2374" s="0" t="s">
        <v>1604</v>
      </c>
      <c r="D2374" s="0">
        <f dt2D="0" dtr="0">HYPERLINK("https://www.icra.in/Rating/RatingDetails?CompanyId=0&amp;CompanyName=Sri Kpr Infra &amp; Projects Limited", "Rationale")</f>
        <v/>
      </c>
    </row>
    <row r="2375">
      <c r="A2375" s="0" t="s">
        <v>5540</v>
      </c>
      <c r="B2375" s="0" t="s">
        <v>5541</v>
      </c>
      <c r="C2375" s="0" t="s">
        <v>6</v>
      </c>
      <c r="D2375" s="0">
        <f dt2D="0" dtr="0">HYPERLINK("https://www.icra.in/Rating/RatingDetails?CompanyId=0&amp;CompanyName=Sri Krishna Kireeti Food Products", "Rationale")</f>
        <v/>
      </c>
    </row>
    <row r="2376">
      <c r="A2376" s="0" t="s">
        <v>5542</v>
      </c>
      <c r="B2376" s="0" t="s">
        <v>5543</v>
      </c>
      <c r="C2376" s="0" t="s">
        <v>1489</v>
      </c>
      <c r="D2376" s="0">
        <f dt2D="0" dtr="0">HYPERLINK("https://www.icra.in/Rating/RatingDetails?CompanyId=0&amp;CompanyName=Sri Krishna Shelters Private Limited", "Rationale")</f>
        <v/>
      </c>
    </row>
    <row r="2377">
      <c r="A2377" s="0" t="s">
        <v>5544</v>
      </c>
      <c r="B2377" s="0" t="s">
        <v>5545</v>
      </c>
      <c r="C2377" s="0" t="s">
        <v>1917</v>
      </c>
      <c r="D2377" s="0">
        <f dt2D="0" dtr="0">HYPERLINK("https://www.icra.in/Rating/RatingDetails?CompanyId=0&amp;CompanyName=Sri Lakshmi Ganapathi Rice Industries", "Rationale")</f>
        <v/>
      </c>
    </row>
    <row r="2378">
      <c r="A2378" s="0" t="s">
        <v>5546</v>
      </c>
      <c r="B2378" s="0" t="s">
        <v>5547</v>
      </c>
      <c r="C2378" s="0" t="s">
        <v>71</v>
      </c>
      <c r="D2378" s="0">
        <f dt2D="0" dtr="0">HYPERLINK("https://www.icra.in/Rating/RatingDetails?CompanyId=0&amp;CompanyName=Sri Lakshmi Janardhan Rice Industries", "Rationale")</f>
        <v/>
      </c>
    </row>
    <row r="2379">
      <c r="A2379" s="0" t="s">
        <v>5548</v>
      </c>
      <c r="B2379" s="0" t="s">
        <v>5549</v>
      </c>
      <c r="C2379" s="0" t="s">
        <v>492</v>
      </c>
      <c r="D2379" s="0">
        <f dt2D="0" dtr="0">HYPERLINK("https://www.icra.in/Rating/RatingDetails?CompanyId=0&amp;CompanyName=Sri Lakshmi Poultry Complex Private Limited", "Rationale")</f>
        <v/>
      </c>
    </row>
    <row r="2380">
      <c r="A2380" s="0" t="s">
        <v>5550</v>
      </c>
      <c r="B2380" s="0" t="s">
        <v>5551</v>
      </c>
      <c r="C2380" s="0" t="s">
        <v>259</v>
      </c>
      <c r="D2380" s="0">
        <f dt2D="0" dtr="0">HYPERLINK("https://www.icra.in/Rating/RatingDetails?CompanyId=0&amp;CompanyName=Sri Lakshmi Poultry Farm", "Rationale")</f>
        <v/>
      </c>
    </row>
    <row r="2381">
      <c r="A2381" s="0" t="s">
        <v>5552</v>
      </c>
      <c r="B2381" s="0" t="s">
        <v>5553</v>
      </c>
      <c r="C2381" s="0" t="s">
        <v>180</v>
      </c>
      <c r="D2381" s="0">
        <f dt2D="0" dtr="0">HYPERLINK("https://www.icra.in/Rating/RatingDetails?CompanyId=0&amp;CompanyName=Sri Lakshmi Satyanarayana Raw &amp; Boiled Rice Mill", "Rationale")</f>
        <v/>
      </c>
    </row>
    <row r="2382">
      <c r="A2382" s="0" t="s">
        <v>5554</v>
      </c>
      <c r="B2382" s="0" t="s">
        <v>5555</v>
      </c>
      <c r="C2382" s="0" t="s">
        <v>1638</v>
      </c>
      <c r="D2382" s="0">
        <f dt2D="0" dtr="0">HYPERLINK("https://www.icra.in/Rating/RatingDetails?CompanyId=0&amp;CompanyName=Sri Lakshmi Srinivas Parboiled", "Rationale")</f>
        <v/>
      </c>
    </row>
    <row r="2383">
      <c r="A2383" s="0" t="s">
        <v>5556</v>
      </c>
      <c r="B2383" s="0" t="s">
        <v>5557</v>
      </c>
      <c r="C2383" s="0" t="s">
        <v>1917</v>
      </c>
      <c r="D2383" s="0">
        <f dt2D="0" dtr="0">HYPERLINK("https://www.icra.in/Rating/RatingDetails?CompanyId=0&amp;CompanyName=Sri Lakshmi Srinivasa Raw &amp; Boiled Rice Mill", "Rationale")</f>
        <v/>
      </c>
    </row>
    <row r="2384">
      <c r="A2384" s="0" t="s">
        <v>5558</v>
      </c>
      <c r="B2384" s="0" t="s">
        <v>5559</v>
      </c>
      <c r="C2384" s="0" t="s">
        <v>1260</v>
      </c>
      <c r="D2384" s="0">
        <f dt2D="0" dtr="0">HYPERLINK("https://www.icra.in/Rating/RatingDetails?CompanyId=0&amp;CompanyName=Sri Lakshmi Venkateswara Modern Rice Industry", "Rationale")</f>
        <v/>
      </c>
    </row>
    <row r="2385">
      <c r="A2385" s="0" t="s">
        <v>5560</v>
      </c>
      <c r="B2385" s="0" t="s">
        <v>5561</v>
      </c>
      <c r="C2385" s="0" t="s">
        <v>1182</v>
      </c>
      <c r="D2385" s="0">
        <f dt2D="0" dtr="0">HYPERLINK("https://www.icra.in/Rating/RatingDetails?CompanyId=0&amp;CompanyName=Sri Maharaja Industries", "Rationale")</f>
        <v/>
      </c>
    </row>
    <row r="2386">
      <c r="A2386" s="0" t="s">
        <v>5562</v>
      </c>
      <c r="B2386" s="0" t="s">
        <v>5563</v>
      </c>
      <c r="C2386" s="0" t="s">
        <v>1182</v>
      </c>
      <c r="D2386" s="0">
        <f dt2D="0" dtr="0">HYPERLINK("https://www.icra.in/Rating/RatingDetails?CompanyId=0&amp;CompanyName=Sri Maharaja Oil Imports And Exports India Private Limited", "Rationale")</f>
        <v/>
      </c>
    </row>
    <row r="2387">
      <c r="A2387" s="0" t="s">
        <v>5564</v>
      </c>
      <c r="B2387" s="0" t="s">
        <v>5565</v>
      </c>
      <c r="C2387" s="0" t="s">
        <v>1182</v>
      </c>
      <c r="D2387" s="0">
        <f dt2D="0" dtr="0">HYPERLINK("https://www.icra.in/Rating/RatingDetails?CompanyId=0&amp;CompanyName=Sri Maharaja Refineries", "Rationale")</f>
        <v/>
      </c>
    </row>
    <row r="2388">
      <c r="A2388" s="0" t="s">
        <v>5566</v>
      </c>
      <c r="B2388" s="0" t="s">
        <v>5567</v>
      </c>
      <c r="C2388" s="0" t="s">
        <v>1522</v>
      </c>
      <c r="D2388" s="0">
        <f dt2D="0" dtr="0">HYPERLINK("https://www.icra.in/Rating/RatingDetails?CompanyId=0&amp;CompanyName=Sri Manakula Vinayaga Educational Trust", "Rationale")</f>
        <v/>
      </c>
    </row>
    <row r="2389">
      <c r="A2389" s="0" t="s">
        <v>5568</v>
      </c>
      <c r="B2389" s="0" t="s">
        <v>5569</v>
      </c>
      <c r="C2389" s="0" t="s">
        <v>1839</v>
      </c>
      <c r="D2389" s="0">
        <f dt2D="0" dtr="0">HYPERLINK("https://www.icra.in/Rating/RatingDetails?CompanyId=0&amp;CompanyName=Sri Manjunatha Silks", "Rationale")</f>
        <v/>
      </c>
    </row>
    <row r="2390">
      <c r="A2390" s="0" t="s">
        <v>5570</v>
      </c>
      <c r="B2390" s="0" t="s">
        <v>5571</v>
      </c>
      <c r="C2390" s="0" t="s">
        <v>6</v>
      </c>
      <c r="D2390" s="0">
        <f dt2D="0" dtr="0">HYPERLINK("https://www.icra.in/Rating/RatingDetails?CompanyId=0&amp;CompanyName=Sri Manjunatha Spinning Mills Limited", "Rationale")</f>
        <v/>
      </c>
    </row>
    <row r="2391">
      <c r="A2391" s="0" t="s">
        <v>5572</v>
      </c>
      <c r="B2391" s="0" t="s">
        <v>5573</v>
      </c>
      <c r="C2391" s="0" t="s">
        <v>298</v>
      </c>
      <c r="D2391" s="0">
        <f dt2D="0" dtr="0">HYPERLINK("https://www.icra.in/Rating/RatingDetails?CompanyId=0&amp;CompanyName=Sri Murari Oil Industries Private Limited", "Rationale")</f>
        <v/>
      </c>
    </row>
    <row r="2392">
      <c r="A2392" s="0" t="s">
        <v>5574</v>
      </c>
      <c r="B2392" s="0" t="s">
        <v>5575</v>
      </c>
      <c r="C2392" s="0" t="s">
        <v>4731</v>
      </c>
      <c r="D2392" s="0">
        <f dt2D="0" dtr="0">HYPERLINK("https://www.icra.in/Rating/RatingDetails?CompanyId=0&amp;CompanyName=Sri Murari Pavan Agrotech", "Rationale")</f>
        <v/>
      </c>
    </row>
    <row r="2393">
      <c r="A2393" s="0" t="s">
        <v>5576</v>
      </c>
      <c r="B2393" s="0" t="s">
        <v>5577</v>
      </c>
      <c r="C2393" s="0" t="s">
        <v>81</v>
      </c>
      <c r="D2393" s="0">
        <f dt2D="0" dtr="0">HYPERLINK("https://www.icra.in/Rating/RatingDetails?CompanyId=0&amp;CompanyName=Sri MVR Cotton Oil Mills Private Limited", "Rationale")</f>
        <v/>
      </c>
    </row>
    <row r="2394">
      <c r="A2394" s="0" t="s">
        <v>5578</v>
      </c>
      <c r="B2394" s="0" t="s">
        <v>5579</v>
      </c>
      <c r="C2394" s="0" t="s">
        <v>2166</v>
      </c>
      <c r="D2394" s="0">
        <f dt2D="0" dtr="0">HYPERLINK("https://www.icra.in/Rating/RatingDetails?CompanyId=0&amp;CompanyName=Sri Nakoda Construction Limited", "Rationale")</f>
        <v/>
      </c>
    </row>
    <row r="2395">
      <c r="A2395" s="0" t="s">
        <v>5580</v>
      </c>
      <c r="B2395" s="0" t="s">
        <v>5581</v>
      </c>
      <c r="C2395" s="0" t="s">
        <v>287</v>
      </c>
      <c r="D2395" s="0">
        <f dt2D="0" dtr="0">HYPERLINK("https://www.icra.in/Rating/RatingDetails?CompanyId=0&amp;CompanyName=Sri Narayani Plastics Pvt Ltd", "Rationale")</f>
        <v/>
      </c>
    </row>
    <row r="2396">
      <c r="A2396" s="0" t="s">
        <v>5582</v>
      </c>
      <c r="B2396" s="0" t="s">
        <v>5583</v>
      </c>
      <c r="C2396" s="0" t="s">
        <v>5584</v>
      </c>
      <c r="D2396" s="0">
        <f dt2D="0" dtr="0">HYPERLINK("https://www.icra.in/Rating/RatingDetails?CompanyId=0&amp;CompanyName=Sri Padma Priya Finance Corporation", "Rationale")</f>
        <v/>
      </c>
    </row>
    <row r="2397">
      <c r="A2397" s="0" t="s">
        <v>5585</v>
      </c>
      <c r="B2397" s="0" t="s">
        <v>5586</v>
      </c>
      <c r="C2397" s="0" t="s">
        <v>2166</v>
      </c>
      <c r="D2397" s="0">
        <f dt2D="0" dtr="0">HYPERLINK("https://www.icra.in/Rating/RatingDetails?CompanyId=0&amp;CompanyName=Sri Padmavathe Agro Cold Storage Llp", "Rationale")</f>
        <v/>
      </c>
    </row>
    <row r="2398">
      <c r="A2398" s="0" t="s">
        <v>5587</v>
      </c>
      <c r="B2398" s="0" t="s">
        <v>5588</v>
      </c>
      <c r="C2398" s="0" t="s">
        <v>492</v>
      </c>
      <c r="D2398" s="0">
        <f dt2D="0" dtr="0">HYPERLINK("https://www.icra.in/Rating/RatingDetails?CompanyId=0&amp;CompanyName=Sri Radha Krishna Rice Industry", "Rationale")</f>
        <v/>
      </c>
    </row>
    <row r="2399">
      <c r="A2399" s="0" t="s">
        <v>5589</v>
      </c>
      <c r="B2399" s="0" t="s">
        <v>5590</v>
      </c>
      <c r="C2399" s="0" t="s">
        <v>5591</v>
      </c>
      <c r="D2399" s="0">
        <f dt2D="0" dtr="0">HYPERLINK("https://www.icra.in/Rating/RatingDetails?CompanyId=0&amp;CompanyName=Sri Rama Spin Cot", "Rationale")</f>
        <v/>
      </c>
    </row>
    <row r="2400">
      <c r="A2400" s="0" t="s">
        <v>5592</v>
      </c>
      <c r="B2400" s="0" t="s">
        <v>5593</v>
      </c>
      <c r="C2400" s="0" t="s">
        <v>165</v>
      </c>
      <c r="D2400" s="0">
        <f dt2D="0" dtr="0">HYPERLINK("https://www.icra.in/Rating/RatingDetails?CompanyId=0&amp;CompanyName=Sri Ramakrishnaa Textiles", "Rationale")</f>
        <v/>
      </c>
    </row>
    <row r="2401">
      <c r="A2401" s="0" t="s">
        <v>5594</v>
      </c>
      <c r="B2401" s="0" t="s">
        <v>5595</v>
      </c>
      <c r="C2401" s="0" t="s">
        <v>5317</v>
      </c>
      <c r="D2401" s="0">
        <f dt2D="0" dtr="0">HYPERLINK("https://www.icra.in/Rating/RatingDetails?CompanyId=0&amp;CompanyName=Sri Sai Agro Industries", "Rationale")</f>
        <v/>
      </c>
    </row>
    <row r="2402">
      <c r="A2402" s="0" t="s">
        <v>5596</v>
      </c>
      <c r="B2402" s="0" t="s">
        <v>5597</v>
      </c>
      <c r="C2402" s="0" t="s">
        <v>192</v>
      </c>
      <c r="D2402" s="0">
        <f dt2D="0" dtr="0">HYPERLINK("https://www.icra.in/Rating/RatingDetails?CompanyId=0&amp;CompanyName=Sri Sai Balaji Tobaccos Private Limited", "Rationale")</f>
        <v/>
      </c>
    </row>
    <row r="2403">
      <c r="A2403" s="0" t="s">
        <v>5598</v>
      </c>
      <c r="B2403" s="0" t="s">
        <v>5599</v>
      </c>
      <c r="C2403" s="0" t="s">
        <v>558</v>
      </c>
      <c r="D2403" s="0">
        <f dt2D="0" dtr="0">HYPERLINK("https://www.icra.in/Rating/RatingDetails?CompanyId=0&amp;CompanyName=Sri Sai Earth Movers", "Rationale")</f>
        <v/>
      </c>
    </row>
    <row r="2404">
      <c r="A2404" s="0" t="s">
        <v>5600</v>
      </c>
      <c r="B2404" s="0" t="s">
        <v>5601</v>
      </c>
      <c r="C2404" s="0" t="s">
        <v>1911</v>
      </c>
      <c r="D2404" s="0">
        <f dt2D="0" dtr="0">HYPERLINK("https://www.icra.in/Rating/RatingDetails?CompanyId=0&amp;CompanyName=Sri Sai Industries", "Rationale")</f>
        <v/>
      </c>
    </row>
    <row r="2405">
      <c r="A2405" s="0" t="s">
        <v>5602</v>
      </c>
      <c r="B2405" s="0" t="s">
        <v>5603</v>
      </c>
      <c r="C2405" s="0" t="s">
        <v>1522</v>
      </c>
      <c r="D2405" s="0">
        <f dt2D="0" dtr="0">HYPERLINK("https://www.icra.in/Rating/RatingDetails?CompanyId=0&amp;CompanyName=Sri Sai Shivanagere Solar Power Pvt Ltd", "Rationale")</f>
        <v/>
      </c>
    </row>
    <row r="2406">
      <c r="A2406" s="0" t="s">
        <v>5604</v>
      </c>
      <c r="B2406" s="0" t="s">
        <v>5605</v>
      </c>
      <c r="C2406" s="0" t="s">
        <v>5606</v>
      </c>
      <c r="D2406" s="0">
        <f dt2D="0" dtr="0">HYPERLINK("https://www.icra.in/Rating/RatingDetails?CompanyId=0&amp;CompanyName=Sri Sathyanarayana Education Trust (erstwhile Sri Sathyanarayana Educational Society)", "Rationale")</f>
        <v/>
      </c>
    </row>
    <row r="2407">
      <c r="A2407" s="0" t="s">
        <v>5607</v>
      </c>
      <c r="B2407" s="0" t="s">
        <v>5608</v>
      </c>
      <c r="C2407" s="0" t="s">
        <v>27</v>
      </c>
      <c r="D2407" s="0">
        <f dt2D="0" dtr="0">HYPERLINK("https://www.icra.in/Rating/RatingDetails?CompanyId=0&amp;CompanyName=Sri Satya Bhaskara Poultry Farm", "Rationale")</f>
        <v/>
      </c>
    </row>
    <row r="2408">
      <c r="A2408" s="0" t="s">
        <v>5609</v>
      </c>
      <c r="B2408" s="0" t="s">
        <v>5610</v>
      </c>
      <c r="C2408" s="0" t="s">
        <v>2210</v>
      </c>
      <c r="D2408" s="0">
        <f dt2D="0" dtr="0">HYPERLINK("https://www.icra.in/Rating/RatingDetails?CompanyId=0&amp;CompanyName=Sri Sharadha Timbers", "Rationale")</f>
        <v/>
      </c>
    </row>
    <row r="2409">
      <c r="A2409" s="0" t="s">
        <v>5611</v>
      </c>
      <c r="B2409" s="0" t="s">
        <v>5612</v>
      </c>
      <c r="C2409" s="0" t="s">
        <v>567</v>
      </c>
      <c r="D2409" s="0">
        <f dt2D="0" dtr="0">HYPERLINK("https://www.icra.in/Rating/RatingDetails?CompanyId=0&amp;CompanyName=Sri Shyam Agro Traders", "Rationale")</f>
        <v/>
      </c>
    </row>
    <row r="2410">
      <c r="A2410" s="0" t="s">
        <v>5613</v>
      </c>
      <c r="B2410" s="0" t="s">
        <v>5614</v>
      </c>
      <c r="C2410" s="0" t="s">
        <v>5253</v>
      </c>
      <c r="D2410" s="0">
        <f dt2D="0" dtr="0">HYPERLINK("https://www.icra.in/Rating/RatingDetails?CompanyId=0&amp;CompanyName=Sri Siddhartha Academy of Higher Education", "Rationale")</f>
        <v/>
      </c>
    </row>
    <row r="2411">
      <c r="A2411" s="0" t="s">
        <v>5615</v>
      </c>
      <c r="B2411" s="0" t="s">
        <v>5616</v>
      </c>
      <c r="C2411" s="0" t="s">
        <v>1917</v>
      </c>
      <c r="D2411" s="0">
        <f dt2D="0" dtr="0">HYPERLINK("https://www.icra.in/Rating/RatingDetails?CompanyId=0&amp;CompanyName=Sri Siddirameshwar Agro Industries Private Limited", "Rationale")</f>
        <v/>
      </c>
    </row>
    <row r="2412">
      <c r="A2412" s="0" t="s">
        <v>5617</v>
      </c>
      <c r="B2412" s="0" t="s">
        <v>5618</v>
      </c>
      <c r="C2412" s="0" t="s">
        <v>4113</v>
      </c>
      <c r="D2412" s="0">
        <f dt2D="0" dtr="0">HYPERLINK("https://www.icra.in/Rating/RatingDetails?CompanyId=0&amp;CompanyName=Sri Someshwara Fertilizers &amp; Chemicals", "Rationale")</f>
        <v/>
      </c>
    </row>
    <row r="2413">
      <c r="A2413" s="0" t="s">
        <v>5619</v>
      </c>
      <c r="B2413" s="0" t="s">
        <v>5620</v>
      </c>
      <c r="C2413" s="0" t="s">
        <v>1201</v>
      </c>
      <c r="D2413" s="0">
        <f dt2D="0" dtr="0">HYPERLINK("https://www.icra.in/Rating/RatingDetails?CompanyId=0&amp;CompanyName=Sri Srinivasa Rice Mill (Mahendrawada)", "Rationale")</f>
        <v/>
      </c>
    </row>
    <row r="2414">
      <c r="A2414" s="0" t="s">
        <v>5621</v>
      </c>
      <c r="B2414" s="0" t="s">
        <v>5622</v>
      </c>
      <c r="C2414" s="0" t="s">
        <v>5623</v>
      </c>
      <c r="D2414" s="0">
        <f dt2D="0" dtr="0">HYPERLINK("https://www.icra.in/Rating/RatingDetails?CompanyId=0&amp;CompanyName=Sri Srinivasa Spintex (India) Limited", "Rationale")</f>
        <v/>
      </c>
    </row>
    <row r="2415">
      <c r="A2415" s="0" t="s">
        <v>5624</v>
      </c>
      <c r="B2415" s="0" t="s">
        <v>5625</v>
      </c>
      <c r="C2415" s="0" t="s">
        <v>103</v>
      </c>
      <c r="D2415" s="0">
        <f dt2D="0" dtr="0">HYPERLINK("https://www.icra.in/Rating/RatingDetails?CompanyId=0&amp;CompanyName=Sri Subramanyeswara Polymers", "Rationale")</f>
        <v/>
      </c>
    </row>
    <row r="2416">
      <c r="A2416" s="0" t="s">
        <v>5626</v>
      </c>
      <c r="B2416" s="0" t="s">
        <v>5627</v>
      </c>
      <c r="C2416" s="0" t="s">
        <v>36</v>
      </c>
      <c r="D2416" s="0">
        <f dt2D="0" dtr="0">HYPERLINK("https://www.icra.in/Rating/RatingDetails?CompanyId=0&amp;CompanyName=Sri Sudha Sesamum Agro Foods and Exports Pvt. Ltd.", "Rationale")</f>
        <v/>
      </c>
    </row>
    <row r="2417">
      <c r="A2417" s="0" t="s">
        <v>5628</v>
      </c>
      <c r="B2417" s="0" t="s">
        <v>5629</v>
      </c>
      <c r="C2417" s="0" t="s">
        <v>5630</v>
      </c>
      <c r="D2417" s="0">
        <f dt2D="0" dtr="0">HYPERLINK("https://www.icra.in/Rating/RatingDetails?CompanyId=0&amp;CompanyName=Sri Swetharka Constructions Private Limited", "Rationale")</f>
        <v/>
      </c>
    </row>
    <row r="2418">
      <c r="A2418" s="0" t="s">
        <v>5631</v>
      </c>
      <c r="B2418" s="0" t="s">
        <v>5632</v>
      </c>
      <c r="C2418" s="0" t="s">
        <v>4158</v>
      </c>
      <c r="D2418" s="0">
        <f dt2D="0" dtr="0">HYPERLINK("https://www.icra.in/Rating/RatingDetails?CompanyId=0&amp;CompanyName=Sri Uma Jewellers India Private Limited", "Rationale")</f>
        <v/>
      </c>
    </row>
    <row r="2419">
      <c r="A2419" s="0" t="s">
        <v>5633</v>
      </c>
      <c r="B2419" s="0" t="s">
        <v>5634</v>
      </c>
      <c r="C2419" s="0" t="s">
        <v>558</v>
      </c>
      <c r="D2419" s="0">
        <f dt2D="0" dtr="0">HYPERLINK("https://www.icra.in/Rating/RatingDetails?CompanyId=0&amp;CompanyName=Sri V.N.S. Spinning Mills India Private Limited", "Rationale")</f>
        <v/>
      </c>
    </row>
    <row r="2420">
      <c r="A2420" s="0" t="s">
        <v>5635</v>
      </c>
      <c r="B2420" s="0" t="s">
        <v>5636</v>
      </c>
      <c r="C2420" s="0" t="s">
        <v>2420</v>
      </c>
      <c r="D2420" s="0">
        <f dt2D="0" dtr="0">HYPERLINK("https://www.icra.in/Rating/RatingDetails?CompanyId=0&amp;CompanyName=Sri Vaishnavi Spintex (India) Private Ltd.", "Rationale")</f>
        <v/>
      </c>
    </row>
    <row r="2421">
      <c r="A2421" s="0" t="s">
        <v>5637</v>
      </c>
      <c r="B2421" s="0" t="s">
        <v>5638</v>
      </c>
      <c r="C2421" s="0" t="s">
        <v>5639</v>
      </c>
      <c r="D2421" s="0">
        <f dt2D="0" dtr="0">HYPERLINK("https://www.icra.in/Rating/RatingDetails?CompanyId=0&amp;CompanyName=Sri Varun Aqua Enterprises", "Rationale")</f>
        <v/>
      </c>
    </row>
    <row r="2422">
      <c r="A2422" s="0" t="s">
        <v>5640</v>
      </c>
      <c r="B2422" s="0" t="s">
        <v>5641</v>
      </c>
      <c r="C2422" s="0" t="s">
        <v>514</v>
      </c>
      <c r="D2422" s="0">
        <f dt2D="0" dtr="0">HYPERLINK("https://www.icra.in/Rating/RatingDetails?CompanyId=0&amp;CompanyName=Sri Varun Logistics Park Private Limited", "Rationale")</f>
        <v/>
      </c>
    </row>
    <row r="2423">
      <c r="A2423" s="0" t="s">
        <v>5642</v>
      </c>
      <c r="B2423" s="0" t="s">
        <v>5643</v>
      </c>
      <c r="C2423" s="0" t="s">
        <v>1437</v>
      </c>
      <c r="D2423" s="0">
        <f dt2D="0" dtr="0">HYPERLINK("https://www.icra.in/Rating/RatingDetails?CompanyId=0&amp;CompanyName=Sri Vasavi Cotton Industries", "Rationale")</f>
        <v/>
      </c>
    </row>
    <row r="2424">
      <c r="A2424" s="0" t="s">
        <v>5644</v>
      </c>
      <c r="B2424" s="0" t="s">
        <v>5645</v>
      </c>
      <c r="C2424" s="0" t="s">
        <v>734</v>
      </c>
      <c r="D2424" s="0">
        <f dt2D="0" dtr="0">HYPERLINK("https://www.icra.in/Rating/RatingDetails?CompanyId=0&amp;CompanyName=Sri Veera Venkata Satyanarayana Rice Mill", "Rationale")</f>
        <v/>
      </c>
    </row>
    <row r="2425">
      <c r="A2425" s="0" t="s">
        <v>5646</v>
      </c>
      <c r="B2425" s="0" t="s">
        <v>5647</v>
      </c>
      <c r="C2425" s="0" t="s">
        <v>24</v>
      </c>
      <c r="D2425" s="0">
        <f dt2D="0" dtr="0">HYPERLINK("https://www.icra.in/Rating/RatingDetails?CompanyId=0&amp;CompanyName=Sri Venkata Umashankar Spintex Private Limited", "Rationale")</f>
        <v/>
      </c>
    </row>
    <row r="2426">
      <c r="A2426" s="0" t="s">
        <v>5648</v>
      </c>
      <c r="B2426" s="0" t="s">
        <v>5649</v>
      </c>
      <c r="C2426" s="0" t="s">
        <v>394</v>
      </c>
      <c r="D2426" s="0">
        <f dt2D="0" dtr="0">HYPERLINK("https://www.icra.in/Rating/RatingDetails?CompanyId=0&amp;CompanyName=Sri Venkateshwara Polymers", "Rationale")</f>
        <v/>
      </c>
    </row>
    <row r="2427">
      <c r="A2427" s="0" t="s">
        <v>5650</v>
      </c>
      <c r="B2427" s="0" t="s">
        <v>5651</v>
      </c>
      <c r="C2427" s="0" t="s">
        <v>5652</v>
      </c>
      <c r="D2427" s="0">
        <f dt2D="0" dtr="0">HYPERLINK("https://www.icra.in/Rating/RatingDetails?CompanyId=0&amp;CompanyName=Sri Venkateshwara Spinning Mills India Private Limited", "Rationale")</f>
        <v/>
      </c>
    </row>
    <row r="2428">
      <c r="A2428" s="0" t="s">
        <v>5653</v>
      </c>
      <c r="B2428" s="0" t="s">
        <v>5654</v>
      </c>
      <c r="C2428" s="0" t="s">
        <v>71</v>
      </c>
      <c r="D2428" s="0">
        <f dt2D="0" dtr="0">HYPERLINK("https://www.icra.in/Rating/RatingDetails?CompanyId=0&amp;CompanyName=Sri Venkateswara Aerospace (Private) Limited", "Rationale")</f>
        <v/>
      </c>
    </row>
    <row r="2429">
      <c r="A2429" s="0" t="s">
        <v>5655</v>
      </c>
      <c r="B2429" s="0" t="s">
        <v>5656</v>
      </c>
      <c r="C2429" s="0" t="s">
        <v>3167</v>
      </c>
      <c r="D2429" s="0">
        <f dt2D="0" dtr="0">HYPERLINK("https://www.icra.in/Rating/RatingDetails?CompanyId=0&amp;CompanyName=Sri Venkateswara Fertilisers Private Limited", "Rationale")</f>
        <v/>
      </c>
    </row>
    <row r="2430">
      <c r="A2430" s="0" t="s">
        <v>5657</v>
      </c>
      <c r="B2430" s="0" t="s">
        <v>5658</v>
      </c>
      <c r="C2430" s="0" t="s">
        <v>5659</v>
      </c>
      <c r="D2430" s="0">
        <f dt2D="0" dtr="0">HYPERLINK("https://www.icra.in/Rating/RatingDetails?CompanyId=0&amp;CompanyName=Sri Venkateswara Rice Industries Private Limited", "Rationale")</f>
        <v/>
      </c>
    </row>
    <row r="2431">
      <c r="A2431" s="0" t="s">
        <v>5660</v>
      </c>
      <c r="B2431" s="0" t="s">
        <v>5661</v>
      </c>
      <c r="C2431" s="0" t="s">
        <v>338</v>
      </c>
      <c r="D2431" s="0">
        <f dt2D="0" dtr="0">HYPERLINK("https://www.icra.in/Rating/RatingDetails?CompanyId=0&amp;CompanyName=Sri Venkateswara Rice Mill", "Rationale")</f>
        <v/>
      </c>
    </row>
    <row r="2432">
      <c r="A2432" s="0" t="s">
        <v>5662</v>
      </c>
      <c r="B2432" s="0" t="s">
        <v>5663</v>
      </c>
      <c r="C2432" s="0" t="s">
        <v>223</v>
      </c>
      <c r="D2432" s="0">
        <f dt2D="0" dtr="0">HYPERLINK("https://www.icra.in/Rating/RatingDetails?CompanyId=0&amp;CompanyName=Sri Venkateswara Spintex (P) Ltd", "Rationale")</f>
        <v/>
      </c>
    </row>
    <row r="2433">
      <c r="A2433" s="0" t="s">
        <v>5664</v>
      </c>
      <c r="B2433" s="0" t="s">
        <v>5665</v>
      </c>
      <c r="C2433" s="0" t="s">
        <v>2904</v>
      </c>
      <c r="D2433" s="0">
        <f dt2D="0" dtr="0">HYPERLINK("https://www.icra.in/Rating/RatingDetails?CompanyId=0&amp;CompanyName=Sri Venkateswara Warehousing", "Rationale")</f>
        <v/>
      </c>
    </row>
    <row r="2434">
      <c r="A2434" s="0" t="s">
        <v>5666</v>
      </c>
      <c r="B2434" s="0" t="s">
        <v>5667</v>
      </c>
      <c r="C2434" s="0" t="s">
        <v>50</v>
      </c>
      <c r="D2434" s="0">
        <f dt2D="0" dtr="0">HYPERLINK("https://www.icra.in/Rating/RatingDetails?CompanyId=0&amp;CompanyName=Sri Vidya Educational And Charitable Trust", "Rationale")</f>
        <v/>
      </c>
    </row>
    <row r="2435">
      <c r="A2435" s="0" t="s">
        <v>5668</v>
      </c>
      <c r="B2435" s="0" t="s">
        <v>5669</v>
      </c>
      <c r="C2435" s="0" t="s">
        <v>71</v>
      </c>
      <c r="D2435" s="0">
        <f dt2D="0" dtr="0">HYPERLINK("https://www.icra.in/Rating/RatingDetails?CompanyId=0&amp;CompanyName=Sri Vijaya Naga Jyothi Rice Mill (Veeravasaram)", "Rationale")</f>
        <v/>
      </c>
    </row>
    <row r="2436">
      <c r="A2436" s="0" t="s">
        <v>5670</v>
      </c>
      <c r="B2436" s="0" t="s">
        <v>5671</v>
      </c>
      <c r="C2436" s="0" t="s">
        <v>5584</v>
      </c>
      <c r="D2436" s="0">
        <f dt2D="0" dtr="0">HYPERLINK("https://www.icra.in/Rating/RatingDetails?CompanyId=0&amp;CompanyName=Sri Vishnu Priya Finance", "Rationale")</f>
        <v/>
      </c>
    </row>
    <row r="2437">
      <c r="A2437" s="0" t="s">
        <v>5672</v>
      </c>
      <c r="B2437" s="0" t="s">
        <v>5673</v>
      </c>
      <c r="C2437" s="0" t="s">
        <v>5674</v>
      </c>
      <c r="D2437" s="0">
        <f dt2D="0" dtr="0">HYPERLINK("https://www.icra.in/Rating/RatingDetails?CompanyId=0&amp;CompanyName=Sri Vishwa Jyothi Agri Cottons", "Rationale")</f>
        <v/>
      </c>
    </row>
    <row r="2438">
      <c r="A2438" s="0" t="s">
        <v>5675</v>
      </c>
      <c r="B2438" s="0" t="s">
        <v>5676</v>
      </c>
      <c r="C2438" s="0" t="s">
        <v>544</v>
      </c>
      <c r="D2438" s="0">
        <f dt2D="0" dtr="0">HYPERLINK("https://www.icra.in/Rating/RatingDetails?CompanyId=0&amp;CompanyName=Srinidhi Real Estate and Constructions", "Rationale")</f>
        <v/>
      </c>
    </row>
    <row r="2439">
      <c r="A2439" s="0" t="s">
        <v>5677</v>
      </c>
      <c r="B2439" s="0" t="s">
        <v>5678</v>
      </c>
      <c r="C2439" s="0" t="s">
        <v>652</v>
      </c>
      <c r="D2439" s="0">
        <f dt2D="0" dtr="0">HYPERLINK("https://www.icra.in/Rating/RatingDetails?CompanyId=0&amp;CompanyName=Srinivasa Educational Society", "Rationale")</f>
        <v/>
      </c>
    </row>
    <row r="2440">
      <c r="A2440" s="0" t="s">
        <v>5679</v>
      </c>
      <c r="B2440" s="0" t="s">
        <v>5680</v>
      </c>
      <c r="C2440" s="0" t="s">
        <v>5681</v>
      </c>
      <c r="D2440" s="0">
        <f dt2D="0" dtr="0">HYPERLINK("https://www.icra.in/Rating/RatingDetails?CompanyId=0&amp;CompanyName=Srinivasa Educational Trust", "Rationale")</f>
        <v/>
      </c>
    </row>
    <row r="2441">
      <c r="A2441" s="0" t="s">
        <v>5682</v>
      </c>
      <c r="B2441" s="0" t="s">
        <v>5683</v>
      </c>
      <c r="C2441" s="0" t="s">
        <v>855</v>
      </c>
      <c r="D2441" s="0">
        <f dt2D="0" dtr="0">HYPERLINK("https://www.icra.in/Rating/RatingDetails?CompanyId=0&amp;CompanyName=Srinivasa Enterprises", "Rationale")</f>
        <v/>
      </c>
    </row>
    <row r="2442">
      <c r="A2442" s="0" t="s">
        <v>5684</v>
      </c>
      <c r="B2442" s="0" t="s">
        <v>5685</v>
      </c>
      <c r="C2442" s="0" t="s">
        <v>5686</v>
      </c>
      <c r="D2442" s="0">
        <f dt2D="0" dtr="0">HYPERLINK("https://www.icra.in/Rating/RatingDetails?CompanyId=0&amp;CompanyName=Srinivasa Enterprises, N. Rambabu", "Rationale")</f>
        <v/>
      </c>
    </row>
    <row r="2443">
      <c r="A2443" s="0" t="s">
        <v>5687</v>
      </c>
      <c r="B2443" s="0" t="s">
        <v>5688</v>
      </c>
      <c r="C2443" s="0" t="s">
        <v>4158</v>
      </c>
      <c r="D2443" s="0">
        <f dt2D="0" dtr="0">HYPERLINK("https://www.icra.in/Rating/RatingDetails?CompanyId=0&amp;CompanyName=Srinivasa Hair Industries Private Limited (Formerly known as Srinivasa Hair Industries)", "Rationale")</f>
        <v/>
      </c>
    </row>
    <row r="2444">
      <c r="A2444" s="0" t="s">
        <v>5689</v>
      </c>
      <c r="B2444" s="0" t="s">
        <v>5690</v>
      </c>
      <c r="C2444" s="0" t="s">
        <v>1541</v>
      </c>
      <c r="D2444" s="0">
        <f dt2D="0" dtr="0">HYPERLINK("https://www.icra.in/Rating/RatingDetails?CompanyId=0&amp;CompanyName=Srinivasa Sales and Service Pvt. Ltd.", "Rationale")</f>
        <v/>
      </c>
    </row>
    <row r="2445">
      <c r="A2445" s="0" t="s">
        <v>5691</v>
      </c>
      <c r="B2445" s="0" t="s">
        <v>5692</v>
      </c>
      <c r="C2445" s="0" t="s">
        <v>1340</v>
      </c>
      <c r="D2445" s="0">
        <f dt2D="0" dtr="0">HYPERLINK("https://www.icra.in/Rating/RatingDetails?CompanyId=0&amp;CompanyName=Srinivasan Charitable and Educational Trust", "Rationale")</f>
        <v/>
      </c>
    </row>
    <row r="2446">
      <c r="A2446" s="0" t="s">
        <v>5693</v>
      </c>
      <c r="B2446" s="0" t="s">
        <v>5694</v>
      </c>
      <c r="C2446" s="0" t="s">
        <v>1340</v>
      </c>
      <c r="D2446" s="0">
        <f dt2D="0" dtr="0">HYPERLINK("https://www.icra.in/Rating/RatingDetails?CompanyId=0&amp;CompanyName=Srinivasan Health and Educational Trust", "Rationale")</f>
        <v/>
      </c>
    </row>
    <row r="2447">
      <c r="A2447" s="0" t="s">
        <v>5695</v>
      </c>
      <c r="B2447" s="0" t="s">
        <v>5696</v>
      </c>
      <c r="C2447" s="0" t="s">
        <v>1808</v>
      </c>
      <c r="D2447" s="0">
        <f dt2D="0" dtr="0">HYPERLINK("https://www.icra.in/Rating/RatingDetails?CompanyId=0&amp;CompanyName=SRS Healthcare and Research Centre Limited", "Rationale")</f>
        <v/>
      </c>
    </row>
    <row r="2448">
      <c r="A2448" s="0" t="s">
        <v>5697</v>
      </c>
      <c r="B2448" s="0" t="s">
        <v>5698</v>
      </c>
      <c r="C2448" s="0" t="s">
        <v>1808</v>
      </c>
      <c r="D2448" s="0">
        <f dt2D="0" dtr="0">HYPERLINK("https://www.icra.in/Rating/RatingDetails?CompanyId=0&amp;CompanyName=SRS Limited", "Rationale")</f>
        <v/>
      </c>
    </row>
    <row r="2449">
      <c r="A2449" s="0" t="s">
        <v>5699</v>
      </c>
      <c r="B2449" s="0" t="s">
        <v>5700</v>
      </c>
      <c r="C2449" s="0" t="s">
        <v>5701</v>
      </c>
      <c r="D2449" s="0">
        <f dt2D="0" dtr="0">HYPERLINK("https://www.icra.in/Rating/RatingDetails?CompanyId=0&amp;CompanyName=SRV Synthetics", "Rationale")</f>
        <v/>
      </c>
    </row>
    <row r="2450">
      <c r="A2450" s="0" t="s">
        <v>5702</v>
      </c>
      <c r="B2450" s="0" t="s">
        <v>5703</v>
      </c>
      <c r="C2450" s="0" t="s">
        <v>81</v>
      </c>
      <c r="D2450" s="0">
        <f dt2D="0" dtr="0">HYPERLINK("https://www.icra.in/Rating/RatingDetails?CompanyId=0&amp;CompanyName=SS Indus Solar Energy Private Limited", "Rationale")</f>
        <v/>
      </c>
    </row>
    <row r="2451">
      <c r="A2451" s="0" t="s">
        <v>5704</v>
      </c>
      <c r="B2451" s="0" t="s">
        <v>5705</v>
      </c>
      <c r="C2451" s="0" t="s">
        <v>3083</v>
      </c>
      <c r="D2451" s="0">
        <f dt2D="0" dtr="0">HYPERLINK("https://www.icra.in/Rating/RatingDetails?CompanyId=0&amp;CompanyName=SSS Rice Mill Private Limited", "Rationale")</f>
        <v/>
      </c>
    </row>
    <row r="2452">
      <c r="A2452" s="0" t="s">
        <v>5706</v>
      </c>
      <c r="B2452" s="0" t="s">
        <v>5707</v>
      </c>
      <c r="C2452" s="0" t="s">
        <v>5708</v>
      </c>
      <c r="D2452" s="0">
        <f dt2D="0" dtr="0">HYPERLINK("https://www.icra.in/Rating/RatingDetails?CompanyId=0&amp;CompanyName=St. Johns Orthodox Church Society (Regd.)", "Rationale")</f>
        <v/>
      </c>
    </row>
    <row r="2453">
      <c r="A2453" s="0" t="s">
        <v>5709</v>
      </c>
      <c r="B2453" s="0" t="s">
        <v>5710</v>
      </c>
      <c r="C2453" s="0" t="s">
        <v>1917</v>
      </c>
      <c r="D2453" s="0">
        <f dt2D="0" dtr="0">HYPERLINK("https://www.icra.in/Rating/RatingDetails?CompanyId=0&amp;CompanyName=St. Wilfred Education Society", "Rationale")</f>
        <v/>
      </c>
    </row>
    <row r="2454">
      <c r="A2454" s="0" t="s">
        <v>5711</v>
      </c>
      <c r="B2454" s="0" t="s">
        <v>5712</v>
      </c>
      <c r="C2454" s="0" t="s">
        <v>2292</v>
      </c>
      <c r="D2454" s="0">
        <f dt2D="0" dtr="0">HYPERLINK("https://www.icra.in/Rating/RatingDetails?CompanyId=0&amp;CompanyName=Stable Packaging Private Limited", "Rationale")</f>
        <v/>
      </c>
    </row>
    <row r="2455">
      <c r="A2455" s="0" t="s">
        <v>5713</v>
      </c>
      <c r="B2455" s="0" t="s">
        <v>5714</v>
      </c>
      <c r="C2455" s="0" t="s">
        <v>71</v>
      </c>
      <c r="D2455" s="0">
        <f dt2D="0" dtr="0">HYPERLINK("https://www.icra.in/Rating/RatingDetails?CompanyId=0&amp;CompanyName=Stallion Laboratories Private Limited", "Rationale")</f>
        <v/>
      </c>
    </row>
    <row r="2456">
      <c r="A2456" s="0" t="s">
        <v>5715</v>
      </c>
      <c r="B2456" s="0" t="s">
        <v>5716</v>
      </c>
      <c r="C2456" s="0" t="s">
        <v>5717</v>
      </c>
      <c r="D2456" s="0">
        <f dt2D="0" dtr="0">HYPERLINK("https://www.icra.in/Rating/RatingDetails?CompanyId=0&amp;CompanyName=Standard Retail Private Limited", "Rationale")</f>
        <v/>
      </c>
    </row>
    <row r="2457">
      <c r="A2457" s="0" t="s">
        <v>5718</v>
      </c>
      <c r="B2457" s="0" t="s">
        <v>5719</v>
      </c>
      <c r="C2457" s="0" t="s">
        <v>71</v>
      </c>
      <c r="D2457" s="0">
        <f dt2D="0" dtr="0">HYPERLINK("https://www.icra.in/Rating/RatingDetails?CompanyId=0&amp;CompanyName=Star Circlips &amp; Engineering Limited", "Rationale")</f>
        <v/>
      </c>
    </row>
    <row r="2458">
      <c r="A2458" s="0" t="s">
        <v>5720</v>
      </c>
      <c r="B2458" s="0" t="s">
        <v>5721</v>
      </c>
      <c r="C2458" s="0" t="s">
        <v>5722</v>
      </c>
      <c r="D2458" s="0">
        <f dt2D="0" dtr="0">HYPERLINK("https://www.icra.in/Rating/RatingDetails?CompanyId=0&amp;CompanyName=Star Security and Detective Agency", "Rationale")</f>
        <v/>
      </c>
    </row>
    <row r="2459">
      <c r="A2459" s="0" t="s">
        <v>5723</v>
      </c>
      <c r="B2459" s="0" t="s">
        <v>5724</v>
      </c>
      <c r="C2459" s="0" t="s">
        <v>5725</v>
      </c>
      <c r="D2459" s="0">
        <f dt2D="0" dtr="0">HYPERLINK("https://www.icra.in/Rating/RatingDetails?CompanyId=0&amp;CompanyName=Starlite Global Enterprises (India) Limited", "Rationale")</f>
        <v/>
      </c>
    </row>
    <row r="2460">
      <c r="A2460" s="0" t="s">
        <v>5726</v>
      </c>
      <c r="B2460" s="0" t="s">
        <v>5727</v>
      </c>
      <c r="C2460" s="0" t="s">
        <v>5728</v>
      </c>
      <c r="D2460" s="0">
        <f dt2D="0" dtr="0">HYPERLINK("https://www.icra.in/Rating/RatingDetails?CompanyId=0&amp;CompanyName=Status Clothing Company Limited", "Rationale")</f>
        <v/>
      </c>
    </row>
    <row r="2461">
      <c r="A2461" s="0" t="s">
        <v>5729</v>
      </c>
      <c r="B2461" s="0" t="s">
        <v>5730</v>
      </c>
      <c r="C2461" s="0" t="s">
        <v>71</v>
      </c>
      <c r="D2461" s="0">
        <f dt2D="0" dtr="0">HYPERLINK("https://www.icra.in/Rating/RatingDetails?CompanyId=0&amp;CompanyName=Steel &amp; Metals", "Rationale")</f>
        <v/>
      </c>
    </row>
    <row r="2462">
      <c r="A2462" s="0" t="s">
        <v>5731</v>
      </c>
      <c r="B2462" s="0" t="s">
        <v>5732</v>
      </c>
      <c r="C2462" s="0" t="s">
        <v>773</v>
      </c>
      <c r="D2462" s="0">
        <f dt2D="0" dtr="0">HYPERLINK("https://www.icra.in/Rating/RatingDetails?CompanyId=0&amp;CompanyName=Steel Products Limited", "Rationale")</f>
        <v/>
      </c>
    </row>
    <row r="2463">
      <c r="A2463" s="0" t="s">
        <v>5733</v>
      </c>
      <c r="B2463" s="0" t="s">
        <v>5734</v>
      </c>
      <c r="C2463" s="0" t="s">
        <v>1302</v>
      </c>
      <c r="D2463" s="0">
        <f dt2D="0" dtr="0">HYPERLINK("https://www.icra.in/Rating/RatingDetails?CompanyId=0&amp;CompanyName=Steelfab Engineering Corporation", "Rationale")</f>
        <v/>
      </c>
    </row>
    <row r="2464">
      <c r="A2464" s="0" t="s">
        <v>5735</v>
      </c>
      <c r="B2464" s="0" t="s">
        <v>5736</v>
      </c>
      <c r="C2464" s="0" t="s">
        <v>358</v>
      </c>
      <c r="D2464" s="0">
        <f dt2D="0" dtr="0">HYPERLINK("https://www.icra.in/Rating/RatingDetails?CompanyId=0&amp;CompanyName=Strawberry Studio Exports Private Limited", "Rationale")</f>
        <v/>
      </c>
    </row>
    <row r="2465">
      <c r="A2465" s="0" t="s">
        <v>5737</v>
      </c>
      <c r="B2465" s="0" t="s">
        <v>5738</v>
      </c>
      <c r="C2465" s="0" t="s">
        <v>1201</v>
      </c>
      <c r="D2465" s="0">
        <f dt2D="0" dtr="0">HYPERLINK("https://www.icra.in/Rating/RatingDetails?CompanyId=0&amp;CompanyName=Sturdy Industries Limited", "Rationale")</f>
        <v/>
      </c>
    </row>
    <row r="2466">
      <c r="A2466" s="0" t="s">
        <v>5739</v>
      </c>
      <c r="B2466" s="0" t="s">
        <v>5740</v>
      </c>
      <c r="C2466" s="0" t="s">
        <v>141</v>
      </c>
      <c r="D2466" s="0">
        <f dt2D="0" dtr="0">HYPERLINK("https://www.icra.in/Rating/RatingDetails?CompanyId=0&amp;CompanyName=Stylin Sanitarywares", "Rationale")</f>
        <v/>
      </c>
    </row>
    <row r="2467">
      <c r="A2467" s="0" t="s">
        <v>5741</v>
      </c>
      <c r="B2467" s="0" t="s">
        <v>5742</v>
      </c>
      <c r="C2467" s="0" t="s">
        <v>5743</v>
      </c>
      <c r="D2467" s="0">
        <f dt2D="0" dtr="0">HYPERLINK("https://www.icra.in/Rating/RatingDetails?CompanyId=0&amp;CompanyName=SU Toll Road Private Limited", "Rationale")</f>
        <v/>
      </c>
    </row>
    <row r="2468">
      <c r="A2468" s="0" t="s">
        <v>5744</v>
      </c>
      <c r="B2468" s="0" t="s">
        <v>5745</v>
      </c>
      <c r="C2468" s="0" t="s">
        <v>71</v>
      </c>
      <c r="D2468" s="0">
        <f dt2D="0" dtr="0">HYPERLINK("https://www.icra.in/Rating/RatingDetails?CompanyId=0&amp;CompanyName=Suave Corporation (India) Private Limited", "Rationale")</f>
        <v/>
      </c>
    </row>
    <row r="2469">
      <c r="A2469" s="0" t="s">
        <v>5746</v>
      </c>
      <c r="B2469" s="0" t="s">
        <v>5747</v>
      </c>
      <c r="C2469" s="0" t="s">
        <v>50</v>
      </c>
      <c r="D2469" s="0">
        <f dt2D="0" dtr="0">HYPERLINK("https://www.icra.in/Rating/RatingDetails?CompanyId=0&amp;CompanyName=Subhang Capsas Pvt. Ltd.", "Rationale")</f>
        <v/>
      </c>
    </row>
    <row r="2470">
      <c r="A2470" s="0" t="s">
        <v>5748</v>
      </c>
      <c r="B2470" s="0" t="s">
        <v>5749</v>
      </c>
      <c r="C2470" s="0" t="s">
        <v>5750</v>
      </c>
      <c r="D2470" s="0">
        <f dt2D="0" dtr="0">HYPERLINK("https://www.icra.in/Rating/RatingDetails?CompanyId=0&amp;CompanyName=Suchirindia Infratech (P) Limited", "Rationale")</f>
        <v/>
      </c>
    </row>
    <row r="2471">
      <c r="A2471" s="0" t="s">
        <v>5751</v>
      </c>
      <c r="B2471" s="0" t="s">
        <v>5752</v>
      </c>
      <c r="C2471" s="0" t="s">
        <v>1403</v>
      </c>
      <c r="D2471" s="0">
        <f dt2D="0" dtr="0">HYPERLINK("https://www.icra.in/Rating/RatingDetails?CompanyId=0&amp;CompanyName=Sudarshan Infra Projects Private Limited", "Rationale")</f>
        <v/>
      </c>
    </row>
    <row r="2472">
      <c r="A2472" s="0" t="s">
        <v>5753</v>
      </c>
      <c r="B2472" s="0" t="s">
        <v>5754</v>
      </c>
      <c r="C2472" s="0" t="s">
        <v>5531</v>
      </c>
      <c r="D2472" s="0">
        <f dt2D="0" dtr="0">HYPERLINK("https://www.icra.in/Rating/RatingDetails?CompanyId=0&amp;CompanyName=Sudarshan TV Channel Limited", "Rationale")</f>
        <v/>
      </c>
    </row>
    <row r="2473">
      <c r="A2473" s="0" t="s">
        <v>5755</v>
      </c>
      <c r="B2473" s="0" t="s">
        <v>5756</v>
      </c>
      <c r="C2473" s="0" t="s">
        <v>1818</v>
      </c>
      <c r="D2473" s="0">
        <f dt2D="0" dtr="0">HYPERLINK("https://www.icra.in/Rating/RatingDetails?CompanyId=0&amp;CompanyName=Sudha Bio Power Private Limited", "Rationale")</f>
        <v/>
      </c>
    </row>
    <row r="2474">
      <c r="A2474" s="0" t="s">
        <v>5757</v>
      </c>
      <c r="B2474" s="0" t="s">
        <v>5758</v>
      </c>
      <c r="C2474" s="0" t="s">
        <v>882</v>
      </c>
      <c r="D2474" s="0">
        <f dt2D="0" dtr="0">HYPERLINK("https://www.icra.in/Rating/RatingDetails?CompanyId=0&amp;CompanyName=Sudhakar Plastic Pvt. Ltd.", "Rationale")</f>
        <v/>
      </c>
    </row>
    <row r="2475">
      <c r="A2475" s="0" t="s">
        <v>5759</v>
      </c>
      <c r="B2475" s="0" t="s">
        <v>5760</v>
      </c>
      <c r="C2475" s="0" t="s">
        <v>71</v>
      </c>
      <c r="D2475" s="0">
        <f dt2D="0" dtr="0">HYPERLINK("https://www.icra.in/Rating/RatingDetails?CompanyId=0&amp;CompanyName=Sudhamsu Exim Private Limited", "Rationale")</f>
        <v/>
      </c>
    </row>
    <row r="2476">
      <c r="A2476" s="0" t="s">
        <v>5761</v>
      </c>
      <c r="B2476" s="0" t="s">
        <v>5762</v>
      </c>
      <c r="C2476" s="0" t="s">
        <v>71</v>
      </c>
      <c r="D2476" s="0">
        <f dt2D="0" dtr="0">HYPERLINK("https://www.icra.in/Rating/RatingDetails?CompanyId=0&amp;CompanyName=Sudhir Agro Oils Private Limited", "Rationale")</f>
        <v/>
      </c>
    </row>
    <row r="2477">
      <c r="A2477" s="0" t="s">
        <v>5763</v>
      </c>
      <c r="B2477" s="0" t="s">
        <v>5764</v>
      </c>
      <c r="C2477" s="0" t="s">
        <v>558</v>
      </c>
      <c r="D2477" s="0">
        <f dt2D="0" dtr="0">HYPERLINK("https://www.icra.in/Rating/RatingDetails?CompanyId=0&amp;CompanyName=Sukritha Buildmann Private Limited", "Rationale")</f>
        <v/>
      </c>
    </row>
    <row r="2478">
      <c r="A2478" s="0" t="s">
        <v>5765</v>
      </c>
      <c r="B2478" s="0" t="s">
        <v>5766</v>
      </c>
      <c r="C2478" s="0" t="s">
        <v>50</v>
      </c>
      <c r="D2478" s="0">
        <f dt2D="0" dtr="0">HYPERLINK("https://www.icra.in/Rating/RatingDetails?CompanyId=0&amp;CompanyName=Suma Foods Private Limited", "Rationale")</f>
        <v/>
      </c>
    </row>
    <row r="2479">
      <c r="A2479" s="0" t="s">
        <v>5767</v>
      </c>
      <c r="B2479" s="0" t="s">
        <v>5768</v>
      </c>
      <c r="C2479" s="0" t="s">
        <v>5769</v>
      </c>
      <c r="D2479" s="0">
        <f dt2D="0" dtr="0">HYPERLINK("https://www.icra.in/Rating/RatingDetails?CompanyId=0&amp;CompanyName=Sumadhura Infracon Private Limited", "Rationale")</f>
        <v/>
      </c>
    </row>
    <row r="2480">
      <c r="A2480" s="0" t="s">
        <v>5770</v>
      </c>
      <c r="B2480" s="0" t="s">
        <v>5771</v>
      </c>
      <c r="C2480" s="0" t="s">
        <v>265</v>
      </c>
      <c r="D2480" s="0">
        <f dt2D="0" dtr="0">HYPERLINK("https://www.icra.in/Rating/RatingDetails?CompanyId=0&amp;CompanyName=Suman Proteins Private Limited", "Rationale")</f>
        <v/>
      </c>
    </row>
    <row r="2481">
      <c r="A2481" s="0" t="s">
        <v>5772</v>
      </c>
      <c r="B2481" s="0" t="s">
        <v>5773</v>
      </c>
      <c r="C2481" s="0" t="s">
        <v>4122</v>
      </c>
      <c r="D2481" s="0">
        <f dt2D="0" dtr="0">HYPERLINK("https://www.icra.in/Rating/RatingDetails?CompanyId=0&amp;CompanyName=Summa Real Media Private Limited", "Rationale")</f>
        <v/>
      </c>
    </row>
    <row r="2482">
      <c r="A2482" s="0" t="s">
        <v>5774</v>
      </c>
      <c r="B2482" s="0" t="s">
        <v>5775</v>
      </c>
      <c r="C2482" s="0" t="s">
        <v>5776</v>
      </c>
      <c r="D2482" s="0">
        <f dt2D="0" dtr="0">HYPERLINK("https://www.icra.in/Rating/RatingDetails?CompanyId=0&amp;CompanyName=Sun Enterprise", "Rationale")</f>
        <v/>
      </c>
    </row>
    <row r="2483">
      <c r="A2483" s="0" t="s">
        <v>5777</v>
      </c>
      <c r="B2483" s="0" t="s">
        <v>5778</v>
      </c>
      <c r="C2483" s="0" t="s">
        <v>1305</v>
      </c>
      <c r="D2483" s="0">
        <f dt2D="0" dtr="0">HYPERLINK("https://www.icra.in/Rating/RatingDetails?CompanyId=0&amp;CompanyName=Sun Hospitality &amp; Service Apartments Private Limited", "Rationale")</f>
        <v/>
      </c>
    </row>
    <row r="2484">
      <c r="A2484" s="0" t="s">
        <v>5779</v>
      </c>
      <c r="B2484" s="0" t="s">
        <v>5780</v>
      </c>
      <c r="C2484" s="0" t="s">
        <v>211</v>
      </c>
      <c r="D2484" s="0">
        <f dt2D="0" dtr="0">HYPERLINK("https://www.icra.in/Rating/RatingDetails?CompanyId=0&amp;CompanyName=Sun Metallics &amp; Alloys Private Limited", "Rationale")</f>
        <v/>
      </c>
    </row>
    <row r="2485">
      <c r="A2485" s="0" t="s">
        <v>5781</v>
      </c>
      <c r="B2485" s="0" t="s">
        <v>5782</v>
      </c>
      <c r="C2485" s="0" t="s">
        <v>5776</v>
      </c>
      <c r="D2485" s="0">
        <f dt2D="0" dtr="0">HYPERLINK("https://www.icra.in/Rating/RatingDetails?CompanyId=0&amp;CompanyName=Sun Psyllium Industries", "Rationale")</f>
        <v/>
      </c>
    </row>
    <row r="2486">
      <c r="A2486" s="0" t="s">
        <v>5783</v>
      </c>
      <c r="B2486" s="0" t="s">
        <v>5784</v>
      </c>
      <c r="C2486" s="0" t="s">
        <v>5309</v>
      </c>
      <c r="D2486" s="0">
        <f dt2D="0" dtr="0">HYPERLINK("https://www.icra.in/Rating/RatingDetails?CompanyId=0&amp;CompanyName=Sun Shine Builders", "Rationale")</f>
        <v/>
      </c>
    </row>
    <row r="2487">
      <c r="A2487" s="0" t="s">
        <v>5785</v>
      </c>
      <c r="B2487" s="0" t="s">
        <v>5786</v>
      </c>
      <c r="C2487" s="0" t="s">
        <v>192</v>
      </c>
      <c r="D2487" s="0">
        <f dt2D="0" dtr="0">HYPERLINK("https://www.icra.in/Rating/RatingDetails?CompanyId=0&amp;CompanyName=Sunbeam Real Ventures Pvt Ltd", "Rationale")</f>
        <v/>
      </c>
    </row>
    <row r="2488">
      <c r="A2488" s="0" t="s">
        <v>5787</v>
      </c>
      <c r="B2488" s="0" t="s">
        <v>5788</v>
      </c>
      <c r="C2488" s="0" t="s">
        <v>192</v>
      </c>
      <c r="D2488" s="0">
        <f dt2D="0" dtr="0">HYPERLINK("https://www.icra.in/Rating/RatingDetails?CompanyId=0&amp;CompanyName=Suncity Synthetics Limited", "Rationale")</f>
        <v/>
      </c>
    </row>
    <row r="2489">
      <c r="A2489" s="0" t="s">
        <v>5789</v>
      </c>
      <c r="B2489" s="0" t="s">
        <v>5790</v>
      </c>
      <c r="C2489" s="0" t="s">
        <v>430</v>
      </c>
      <c r="D2489" s="0">
        <f dt2D="0" dtr="0">HYPERLINK("https://www.icra.in/Rating/RatingDetails?CompanyId=0&amp;CompanyName=Sundar Timber Products", "Rationale")</f>
        <v/>
      </c>
    </row>
    <row r="2490">
      <c r="A2490" s="0" t="s">
        <v>5791</v>
      </c>
      <c r="B2490" s="0" t="s">
        <v>5792</v>
      </c>
      <c r="C2490" s="0" t="s">
        <v>4037</v>
      </c>
      <c r="D2490" s="0">
        <f dt2D="0" dtr="0">HYPERLINK("https://www.icra.in/Rating/RatingDetails?CompanyId=0&amp;CompanyName=Sunflora Vitrified Pvt. Ltd.", "Rationale")</f>
        <v/>
      </c>
    </row>
    <row r="2491">
      <c r="A2491" s="0" t="s">
        <v>5793</v>
      </c>
      <c r="B2491" s="0" t="s">
        <v>5794</v>
      </c>
      <c r="C2491" s="0" t="s">
        <v>103</v>
      </c>
      <c r="D2491" s="0">
        <f dt2D="0" dtr="0">HYPERLINK("https://www.icra.in/Rating/RatingDetails?CompanyId=0&amp;CompanyName=Sunglow Suitings Private Limited", "Rationale")</f>
        <v/>
      </c>
    </row>
    <row r="2492">
      <c r="A2492" s="0" t="s">
        <v>5795</v>
      </c>
      <c r="B2492" s="0" t="s">
        <v>5796</v>
      </c>
      <c r="C2492" s="0" t="s">
        <v>1350</v>
      </c>
      <c r="D2492" s="0">
        <f dt2D="0" dtr="0">HYPERLINK("https://www.icra.in/Rating/RatingDetails?CompanyId=0&amp;CompanyName=Sunil And Company", "Rationale")</f>
        <v/>
      </c>
    </row>
    <row r="2493">
      <c r="A2493" s="0" t="s">
        <v>5797</v>
      </c>
      <c r="B2493" s="0" t="s">
        <v>5798</v>
      </c>
      <c r="C2493" s="0" t="s">
        <v>980</v>
      </c>
      <c r="D2493" s="0">
        <f dt2D="0" dtr="0">HYPERLINK("https://www.icra.in/Rating/RatingDetails?CompanyId=0&amp;CompanyName=Sunil Industries", "Rationale")</f>
        <v/>
      </c>
    </row>
    <row r="2494">
      <c r="A2494" s="0" t="s">
        <v>5799</v>
      </c>
      <c r="B2494" s="0" t="s">
        <v>5800</v>
      </c>
      <c r="C2494" s="0" t="s">
        <v>489</v>
      </c>
      <c r="D2494" s="0">
        <f dt2D="0" dtr="0">HYPERLINK("https://www.icra.in/Rating/RatingDetails?CompanyId=0&amp;CompanyName=Sunny Enterprises", "Rationale")</f>
        <v/>
      </c>
    </row>
    <row r="2495">
      <c r="A2495" s="0" t="s">
        <v>5801</v>
      </c>
      <c r="B2495" s="0" t="s">
        <v>5802</v>
      </c>
      <c r="C2495" s="0" t="s">
        <v>1917</v>
      </c>
      <c r="D2495" s="0">
        <f dt2D="0" dtr="0">HYPERLINK("https://www.icra.in/Rating/RatingDetails?CompanyId=0&amp;CompanyName=Sunny Exports", "Rationale")</f>
        <v/>
      </c>
    </row>
    <row r="2496">
      <c r="A2496" s="0" t="s">
        <v>5803</v>
      </c>
      <c r="B2496" s="0" t="s">
        <v>5804</v>
      </c>
      <c r="C2496" s="0" t="s">
        <v>5805</v>
      </c>
      <c r="D2496" s="0">
        <f dt2D="0" dtr="0">HYPERLINK("https://www.icra.in/Rating/RatingDetails?CompanyId=0&amp;CompanyName=Sunpack Barrier Films Pvt. Ltd.", "Rationale")</f>
        <v/>
      </c>
    </row>
    <row r="2497">
      <c r="A2497" s="0" t="s">
        <v>5806</v>
      </c>
      <c r="B2497" s="0" t="s">
        <v>5807</v>
      </c>
      <c r="C2497" s="0" t="s">
        <v>1201</v>
      </c>
      <c r="D2497" s="0">
        <f dt2D="0" dtr="0">HYPERLINK("https://www.icra.in/Rating/RatingDetails?CompanyId=0&amp;CompanyName=Sunrise Seafoods India Private Limited", "Rationale")</f>
        <v/>
      </c>
    </row>
    <row r="2498">
      <c r="A2498" s="0" t="s">
        <v>5808</v>
      </c>
      <c r="B2498" s="0" t="s">
        <v>5809</v>
      </c>
      <c r="C2498" s="0" t="s">
        <v>3845</v>
      </c>
      <c r="D2498" s="0">
        <f dt2D="0" dtr="0">HYPERLINK("https://www.icra.in/Rating/RatingDetails?CompanyId=0&amp;CompanyName=Sunshine Conveyors Private Limited", "Rationale")</f>
        <v/>
      </c>
    </row>
    <row r="2499">
      <c r="A2499" s="0" t="s">
        <v>5810</v>
      </c>
      <c r="B2499" s="0" t="s">
        <v>5811</v>
      </c>
      <c r="C2499" s="0" t="s">
        <v>372</v>
      </c>
      <c r="D2499" s="0">
        <f dt2D="0" dtr="0">HYPERLINK("https://www.icra.in/Rating/RatingDetails?CompanyId=0&amp;CompanyName=Sunshine Edible Oils", "Rationale")</f>
        <v/>
      </c>
    </row>
    <row r="2500">
      <c r="A2500" s="0" t="s">
        <v>5812</v>
      </c>
      <c r="B2500" s="0" t="s">
        <v>5813</v>
      </c>
      <c r="C2500" s="0" t="s">
        <v>2359</v>
      </c>
      <c r="D2500" s="0">
        <f dt2D="0" dtr="0">HYPERLINK("https://www.icra.in/Rating/RatingDetails?CompanyId=0&amp;CompanyName=Sunshine Exports", "Rationale")</f>
        <v/>
      </c>
    </row>
    <row r="2501">
      <c r="A2501" s="0" t="s">
        <v>5814</v>
      </c>
      <c r="B2501" s="0" t="s">
        <v>5815</v>
      </c>
      <c r="C2501" s="0" t="s">
        <v>1006</v>
      </c>
      <c r="D2501" s="0">
        <f dt2D="0" dtr="0">HYPERLINK("https://www.icra.in/Rating/RatingDetails?CompanyId=0&amp;CompanyName=Sunstar Overseas Limited", "Rationale")</f>
        <v/>
      </c>
    </row>
    <row r="2502">
      <c r="A2502" s="0" t="s">
        <v>5816</v>
      </c>
      <c r="B2502" s="0" t="s">
        <v>5817</v>
      </c>
      <c r="C2502" s="0" t="s">
        <v>5818</v>
      </c>
      <c r="D2502" s="0">
        <f dt2D="0" dtr="0">HYPERLINK("https://www.icra.in/Rating/RatingDetails?CompanyId=0&amp;CompanyName=Sunstar Precision Forge Limited", "Rationale")</f>
        <v/>
      </c>
    </row>
    <row r="2503">
      <c r="A2503" s="0" t="s">
        <v>5819</v>
      </c>
      <c r="B2503" s="0" t="s">
        <v>5820</v>
      </c>
      <c r="C2503" s="0" t="s">
        <v>1287</v>
      </c>
      <c r="D2503" s="0">
        <f dt2D="0" dtr="0">HYPERLINK("https://www.icra.in/Rating/RatingDetails?CompanyId=0&amp;CompanyName=Suntana Textile Mills Private Limited", "Rationale")</f>
        <v/>
      </c>
    </row>
    <row r="2504">
      <c r="A2504" s="0" t="s">
        <v>5821</v>
      </c>
      <c r="B2504" s="0" t="s">
        <v>5822</v>
      </c>
      <c r="C2504" s="0" t="s">
        <v>262</v>
      </c>
      <c r="D2504" s="0">
        <f dt2D="0" dtr="0">HYPERLINK("https://www.icra.in/Rating/RatingDetails?CompanyId=0&amp;CompanyName=Sunwatt International Private Limited", "Rationale")</f>
        <v/>
      </c>
    </row>
    <row r="2505">
      <c r="A2505" s="0" t="s">
        <v>5823</v>
      </c>
      <c r="B2505" s="0" t="s">
        <v>5824</v>
      </c>
      <c r="C2505" s="0" t="s">
        <v>1148</v>
      </c>
      <c r="D2505" s="0">
        <f dt2D="0" dtr="0">HYPERLINK("https://www.icra.in/Rating/RatingDetails?CompanyId=0&amp;CompanyName=Sunway Infrastructure Services Limited", "Rationale")</f>
        <v/>
      </c>
    </row>
    <row r="2506">
      <c r="A2506" s="0" t="s">
        <v>5825</v>
      </c>
      <c r="B2506" s="0" t="s">
        <v>5826</v>
      </c>
      <c r="C2506" s="0" t="s">
        <v>744</v>
      </c>
      <c r="D2506" s="0">
        <f dt2D="0" dtr="0">HYPERLINK("https://www.icra.in/Rating/RatingDetails?CompanyId=0&amp;CompanyName=Sunworld Residency Private Limited", "Rationale")</f>
        <v/>
      </c>
    </row>
    <row r="2507">
      <c r="A2507" s="0" t="s">
        <v>5827</v>
      </c>
      <c r="B2507" s="0" t="s">
        <v>5828</v>
      </c>
      <c r="C2507" s="0" t="s">
        <v>1486</v>
      </c>
      <c r="D2507" s="0">
        <f dt2D="0" dtr="0">HYPERLINK("https://www.icra.in/Rating/RatingDetails?CompanyId=0&amp;CompanyName=Super Psyllium", "Rationale")</f>
        <v/>
      </c>
    </row>
    <row r="2508">
      <c r="A2508" s="0" t="s">
        <v>5829</v>
      </c>
      <c r="B2508" s="0" t="s">
        <v>5830</v>
      </c>
      <c r="C2508" s="0" t="s">
        <v>2571</v>
      </c>
      <c r="D2508" s="0">
        <f dt2D="0" dtr="0">HYPERLINK("https://www.icra.in/Rating/RatingDetails?CompanyId=0&amp;CompanyName=Superfine Aluminium Technologies Pvt.Ltd.", "Rationale")</f>
        <v/>
      </c>
    </row>
    <row r="2509">
      <c r="A2509" s="0" t="s">
        <v>5831</v>
      </c>
      <c r="B2509" s="0" t="s">
        <v>5832</v>
      </c>
      <c r="C2509" s="0" t="s">
        <v>2536</v>
      </c>
      <c r="D2509" s="0">
        <f dt2D="0" dtr="0">HYPERLINK("https://www.icra.in/Rating/RatingDetails?CompanyId=0&amp;CompanyName=Suprabha Protective Products Private Limited", "Rationale")</f>
        <v/>
      </c>
    </row>
    <row r="2510">
      <c r="A2510" s="0" t="s">
        <v>5833</v>
      </c>
      <c r="B2510" s="0" t="s">
        <v>5834</v>
      </c>
      <c r="C2510" s="0" t="s">
        <v>183</v>
      </c>
      <c r="D2510" s="0">
        <f dt2D="0" dtr="0">HYPERLINK("https://www.icra.in/Rating/RatingDetails?CompanyId=0&amp;CompanyName=Supreme Infra Products", "Rationale")</f>
        <v/>
      </c>
    </row>
    <row r="2511">
      <c r="A2511" s="0" t="s">
        <v>5835</v>
      </c>
      <c r="B2511" s="0" t="s">
        <v>5836</v>
      </c>
      <c r="C2511" s="0" t="s">
        <v>4158</v>
      </c>
      <c r="D2511" s="0">
        <f dt2D="0" dtr="0">HYPERLINK("https://www.icra.in/Rating/RatingDetails?CompanyId=0&amp;CompanyName=Supreme Nutri Grain Private Limited", "Rationale")</f>
        <v/>
      </c>
    </row>
    <row r="2512">
      <c r="A2512" s="0" t="s">
        <v>5837</v>
      </c>
      <c r="B2512" s="0" t="s">
        <v>5838</v>
      </c>
      <c r="C2512" s="0" t="s">
        <v>888</v>
      </c>
      <c r="D2512" s="0">
        <f dt2D="0" dtr="0">HYPERLINK("https://www.icra.in/Rating/RatingDetails?CompanyId=0&amp;CompanyName=Supreme Solar Systems", "Rationale")</f>
        <v/>
      </c>
    </row>
    <row r="2513">
      <c r="A2513" s="0" t="s">
        <v>5839</v>
      </c>
      <c r="B2513" s="0" t="s">
        <v>5840</v>
      </c>
      <c r="C2513" s="0" t="s">
        <v>71</v>
      </c>
      <c r="D2513" s="0">
        <f dt2D="0" dtr="0">HYPERLINK("https://www.icra.in/Rating/RatingDetails?CompanyId=0&amp;CompanyName=Supriya Spinning Mills Private Limited", "Rationale")</f>
        <v/>
      </c>
    </row>
    <row r="2514">
      <c r="A2514" s="0" t="s">
        <v>5841</v>
      </c>
      <c r="B2514" s="0" t="s">
        <v>5842</v>
      </c>
      <c r="C2514" s="0" t="s">
        <v>5843</v>
      </c>
      <c r="D2514" s="0">
        <f dt2D="0" dtr="0">HYPERLINK("https://www.icra.in/Rating/RatingDetails?CompanyId=0&amp;CompanyName=Surajbhan Rajkumar Private Limited", "Rationale")</f>
        <v/>
      </c>
    </row>
    <row r="2515">
      <c r="A2515" s="0" t="s">
        <v>5844</v>
      </c>
      <c r="B2515" s="0" t="s">
        <v>5845</v>
      </c>
      <c r="C2515" s="0" t="s">
        <v>223</v>
      </c>
      <c r="D2515" s="0">
        <f dt2D="0" dtr="0">HYPERLINK("https://www.icra.in/Rating/RatingDetails?CompanyId=0&amp;CompanyName=Surat Wovensacks Industries Llp", "Rationale")</f>
        <v/>
      </c>
    </row>
    <row r="2516">
      <c r="A2516" s="0" t="s">
        <v>5846</v>
      </c>
      <c r="B2516" s="0" t="s">
        <v>5847</v>
      </c>
      <c r="C2516" s="0" t="s">
        <v>71</v>
      </c>
      <c r="D2516" s="0">
        <f dt2D="0" dtr="0">HYPERLINK("https://www.icra.in/Rating/RatingDetails?CompanyId=0&amp;CompanyName=Surbhi Ferro Impex Private Limited", "Rationale")</f>
        <v/>
      </c>
    </row>
    <row r="2517">
      <c r="A2517" s="0" t="s">
        <v>5848</v>
      </c>
      <c r="B2517" s="0" t="s">
        <v>5849</v>
      </c>
      <c r="C2517" s="0" t="s">
        <v>50</v>
      </c>
      <c r="D2517" s="0">
        <f dt2D="0" dtr="0">HYPERLINK("https://www.icra.in/Rating/RatingDetails?CompanyId=0&amp;CompanyName=Suresh Exports", "Rationale")</f>
        <v/>
      </c>
    </row>
    <row r="2518">
      <c r="A2518" s="0" t="s">
        <v>5850</v>
      </c>
      <c r="B2518" s="0" t="s">
        <v>5851</v>
      </c>
      <c r="C2518" s="0" t="s">
        <v>92</v>
      </c>
      <c r="D2518" s="0">
        <f dt2D="0" dtr="0">HYPERLINK("https://www.icra.in/Rating/RatingDetails?CompanyId=0&amp;CompanyName=Surya Foods", "Rationale")</f>
        <v/>
      </c>
    </row>
    <row r="2519">
      <c r="A2519" s="0" t="s">
        <v>5852</v>
      </c>
      <c r="B2519" s="0" t="s">
        <v>5853</v>
      </c>
      <c r="C2519" s="0" t="s">
        <v>71</v>
      </c>
      <c r="D2519" s="0">
        <f dt2D="0" dtr="0">HYPERLINK("https://www.icra.in/Rating/RatingDetails?CompanyId=0&amp;CompanyName=Surya Oil &amp; Agro Industries", "Rationale")</f>
        <v/>
      </c>
    </row>
    <row r="2520">
      <c r="A2520" s="0" t="s">
        <v>5854</v>
      </c>
      <c r="B2520" s="0" t="s">
        <v>5855</v>
      </c>
      <c r="C2520" s="0" t="s">
        <v>5189</v>
      </c>
      <c r="D2520" s="0">
        <f dt2D="0" dtr="0">HYPERLINK("https://www.icra.in/Rating/RatingDetails?CompanyId=0&amp;CompanyName=Surya Vikas Plywood Limited", "Rationale")</f>
        <v/>
      </c>
    </row>
    <row r="2521">
      <c r="A2521" s="0" t="s">
        <v>5856</v>
      </c>
      <c r="B2521" s="0" t="s">
        <v>5857</v>
      </c>
      <c r="C2521" s="0" t="s">
        <v>1335</v>
      </c>
      <c r="D2521" s="0">
        <f dt2D="0" dtr="0">HYPERLINK("https://www.icra.in/Rating/RatingDetails?CompanyId=0&amp;CompanyName=Suryansh Metal &amp; Alloys", "Rationale")</f>
        <v/>
      </c>
    </row>
    <row r="2522">
      <c r="A2522" s="0" t="s">
        <v>5858</v>
      </c>
      <c r="B2522" s="0" t="s">
        <v>5859</v>
      </c>
      <c r="C2522" s="0" t="s">
        <v>699</v>
      </c>
      <c r="D2522" s="0">
        <f dt2D="0" dtr="0">HYPERLINK("https://www.icra.in/Rating/RatingDetails?CompanyId=0&amp;CompanyName=Suryapet Municipality", "Rationale")</f>
        <v/>
      </c>
    </row>
    <row r="2523">
      <c r="A2523" s="0" t="s">
        <v>5860</v>
      </c>
      <c r="B2523" s="0" t="s">
        <v>5861</v>
      </c>
      <c r="C2523" s="0" t="s">
        <v>3850</v>
      </c>
      <c r="D2523" s="0">
        <f dt2D="0" dtr="0">HYPERLINK("https://www.icra.in/Rating/RatingDetails?CompanyId=0&amp;CompanyName=Suryasri Rice Mill", "Rationale")</f>
        <v/>
      </c>
    </row>
    <row r="2524">
      <c r="A2524" s="0" t="s">
        <v>5862</v>
      </c>
      <c r="B2524" s="0" t="s">
        <v>5863</v>
      </c>
      <c r="C2524" s="0" t="s">
        <v>5591</v>
      </c>
      <c r="D2524" s="0">
        <f dt2D="0" dtr="0">HYPERLINK("https://www.icra.in/Rating/RatingDetails?CompanyId=0&amp;CompanyName=Susee Motors (India) Private Limited", "Rationale")</f>
        <v/>
      </c>
    </row>
    <row r="2525">
      <c r="A2525" s="0" t="s">
        <v>5864</v>
      </c>
      <c r="B2525" s="0" t="s">
        <v>5865</v>
      </c>
      <c r="C2525" s="0" t="s">
        <v>30</v>
      </c>
      <c r="D2525" s="0">
        <f dt2D="0" dtr="0">HYPERLINK("https://www.icra.in/Rating/RatingDetails?CompanyId=0&amp;CompanyName=Susheel Motors Private Limited", "Rationale")</f>
        <v/>
      </c>
    </row>
    <row r="2526">
      <c r="A2526" s="0" t="s">
        <v>5866</v>
      </c>
      <c r="B2526" s="0" t="s">
        <v>5867</v>
      </c>
      <c r="C2526" s="0" t="s">
        <v>1350</v>
      </c>
      <c r="D2526" s="0">
        <f dt2D="0" dtr="0">HYPERLINK("https://www.icra.in/Rating/RatingDetails?CompanyId=0&amp;CompanyName=Suvarna Lakshmi Jewellers", "Rationale")</f>
        <v/>
      </c>
    </row>
    <row r="2527">
      <c r="A2527" s="0" t="s">
        <v>5868</v>
      </c>
      <c r="B2527" s="0" t="s">
        <v>5869</v>
      </c>
      <c r="C2527" s="0" t="s">
        <v>2111</v>
      </c>
      <c r="D2527" s="0">
        <f dt2D="0" dtr="0">HYPERLINK("https://www.icra.in/Rating/RatingDetails?CompanyId=0&amp;CompanyName=Suvidha Realtors and Constructions Pvt Ltd", "Rationale")</f>
        <v/>
      </c>
    </row>
    <row r="2528">
      <c r="A2528" s="0" t="s">
        <v>5870</v>
      </c>
      <c r="B2528" s="0" t="s">
        <v>5871</v>
      </c>
      <c r="C2528" s="0" t="s">
        <v>71</v>
      </c>
      <c r="D2528" s="0">
        <f dt2D="0" dtr="0">HYPERLINK("https://www.icra.in/Rating/RatingDetails?CompanyId=0&amp;CompanyName=Suyash Polymer", "Rationale")</f>
        <v/>
      </c>
    </row>
    <row r="2529">
      <c r="A2529" s="0" t="s">
        <v>5872</v>
      </c>
      <c r="B2529" s="0" t="s">
        <v>5873</v>
      </c>
      <c r="C2529" s="0" t="s">
        <v>9</v>
      </c>
      <c r="D2529" s="0">
        <f dt2D="0" dtr="0">HYPERLINK("https://www.icra.in/Rating/RatingDetails?CompanyId=0&amp;CompanyName=Svarn Tex Prints Private Limited", "Rationale")</f>
        <v/>
      </c>
    </row>
    <row r="2530">
      <c r="A2530" s="0" t="s">
        <v>5874</v>
      </c>
      <c r="B2530" s="0" t="s">
        <v>5875</v>
      </c>
      <c r="C2530" s="0" t="s">
        <v>1844</v>
      </c>
      <c r="D2530" s="0">
        <f dt2D="0" dtr="0">HYPERLINK("https://www.icra.in/Rating/RatingDetails?CompanyId=0&amp;CompanyName=SVM Cera Private Limited", "Rationale")</f>
        <v/>
      </c>
    </row>
    <row r="2531">
      <c r="A2531" s="0" t="s">
        <v>5876</v>
      </c>
      <c r="B2531" s="0" t="s">
        <v>5877</v>
      </c>
      <c r="C2531" s="0" t="s">
        <v>5878</v>
      </c>
      <c r="D2531" s="0">
        <f dt2D="0" dtr="0">HYPERLINK("https://www.icra.in/Rating/RatingDetails?CompanyId=0&amp;CompanyName=SVP Builders (I) Limited", "Rationale")</f>
        <v/>
      </c>
    </row>
    <row r="2532">
      <c r="A2532" s="0" t="s">
        <v>5879</v>
      </c>
      <c r="B2532" s="0" t="s">
        <v>5880</v>
      </c>
      <c r="C2532" s="0" t="s">
        <v>197</v>
      </c>
      <c r="D2532" s="0">
        <f dt2D="0" dtr="0">HYPERLINK("https://www.icra.in/Rating/RatingDetails?CompanyId=0&amp;CompanyName=SVR Drugs private limited", "Rationale")</f>
        <v/>
      </c>
    </row>
    <row r="2533">
      <c r="A2533" s="0" t="s">
        <v>5881</v>
      </c>
      <c r="B2533" s="0" t="s">
        <v>5882</v>
      </c>
      <c r="C2533" s="0" t="s">
        <v>71</v>
      </c>
      <c r="D2533" s="0">
        <f dt2D="0" dtr="0">HYPERLINK("https://www.icra.in/Rating/RatingDetails?CompanyId=0&amp;CompanyName=SVR Electricals Private Limited", "Rationale")</f>
        <v/>
      </c>
    </row>
    <row r="2534">
      <c r="A2534" s="0" t="s">
        <v>5883</v>
      </c>
      <c r="B2534" s="0" t="s">
        <v>5884</v>
      </c>
      <c r="C2534" s="0" t="s">
        <v>197</v>
      </c>
      <c r="D2534" s="0">
        <f dt2D="0" dtr="0">HYPERLINK("https://www.icra.in/Rating/RatingDetails?CompanyId=0&amp;CompanyName=SVR Laboratories Private Limited", "Rationale")</f>
        <v/>
      </c>
    </row>
    <row r="2535">
      <c r="A2535" s="0" t="s">
        <v>5885</v>
      </c>
      <c r="B2535" s="0" t="s">
        <v>5886</v>
      </c>
      <c r="C2535" s="0" t="s">
        <v>71</v>
      </c>
      <c r="D2535" s="0">
        <f dt2D="0" dtr="0">HYPERLINK("https://www.icra.in/Rating/RatingDetails?CompanyId=0&amp;CompanyName=Svs Constructions", "Rationale")</f>
        <v/>
      </c>
    </row>
    <row r="2536">
      <c r="A2536" s="0" t="s">
        <v>5887</v>
      </c>
      <c r="B2536" s="0" t="s">
        <v>5888</v>
      </c>
      <c r="C2536" s="0" t="s">
        <v>346</v>
      </c>
      <c r="D2536" s="0">
        <f dt2D="0" dtr="0">HYPERLINK("https://www.icra.in/Rating/RatingDetails?CompanyId=0&amp;CompanyName=SVSVS Projects Private Limited", "Rationale")</f>
        <v/>
      </c>
    </row>
    <row r="2537">
      <c r="A2537" s="0" t="s">
        <v>5889</v>
      </c>
      <c r="B2537" s="0" t="s">
        <v>5890</v>
      </c>
      <c r="C2537" s="0" t="s">
        <v>5891</v>
      </c>
      <c r="D2537" s="0">
        <f dt2D="0" dtr="0">HYPERLINK("https://www.icra.in/Rating/RatingDetails?CompanyId=0&amp;CompanyName=Swadesh Green Infra Limited", "Rationale")</f>
        <v/>
      </c>
    </row>
    <row r="2538">
      <c r="A2538" s="0" t="s">
        <v>5892</v>
      </c>
      <c r="B2538" s="0" t="s">
        <v>5893</v>
      </c>
      <c r="C2538" s="0" t="s">
        <v>5894</v>
      </c>
      <c r="D2538" s="0">
        <f dt2D="0" dtr="0">HYPERLINK("https://www.icra.in/Rating/RatingDetails?CompanyId=0&amp;CompanyName=Swarnodhayam Credits Private Limited", "Rationale")</f>
        <v/>
      </c>
    </row>
    <row r="2539">
      <c r="A2539" s="0" t="s">
        <v>5895</v>
      </c>
      <c r="B2539" s="0" t="s">
        <v>5896</v>
      </c>
      <c r="C2539" s="0" t="s">
        <v>5897</v>
      </c>
      <c r="D2539" s="0">
        <f dt2D="0" dtr="0">HYPERLINK("https://www.icra.in/Rating/RatingDetails?CompanyId=0&amp;CompanyName=Swastik Cold Storage", "Rationale")</f>
        <v/>
      </c>
    </row>
    <row r="2540">
      <c r="A2540" s="0" t="s">
        <v>5898</v>
      </c>
      <c r="B2540" s="0" t="s">
        <v>5899</v>
      </c>
      <c r="C2540" s="0" t="s">
        <v>71</v>
      </c>
      <c r="D2540" s="0">
        <f dt2D="0" dtr="0">HYPERLINK("https://www.icra.in/Rating/RatingDetails?CompanyId=0&amp;CompanyName=Swastik Enterprise", "Rationale")</f>
        <v/>
      </c>
    </row>
    <row r="2541">
      <c r="A2541" s="0" t="s">
        <v>5900</v>
      </c>
      <c r="B2541" s="0" t="s">
        <v>5901</v>
      </c>
      <c r="C2541" s="0" t="s">
        <v>3401</v>
      </c>
      <c r="D2541" s="0">
        <f dt2D="0" dtr="0">HYPERLINK("https://www.icra.in/Rating/RatingDetails?CompanyId=0&amp;CompanyName=Swastik Polyvinyls Pvt Ltd", "Rationale")</f>
        <v/>
      </c>
    </row>
    <row r="2542">
      <c r="A2542" s="0" t="s">
        <v>5902</v>
      </c>
      <c r="B2542" s="0" t="s">
        <v>5903</v>
      </c>
      <c r="C2542" s="0" t="s">
        <v>71</v>
      </c>
      <c r="D2542" s="0">
        <f dt2D="0" dtr="0">HYPERLINK("https://www.icra.in/Rating/RatingDetails?CompanyId=0&amp;CompanyName=Swastik Tradelink Private Limited", "Rationale")</f>
        <v/>
      </c>
    </row>
    <row r="2543">
      <c r="A2543" s="0" t="s">
        <v>5904</v>
      </c>
      <c r="B2543" s="0" t="s">
        <v>5905</v>
      </c>
      <c r="C2543" s="0" t="s">
        <v>1564</v>
      </c>
      <c r="D2543" s="0">
        <f dt2D="0" dtr="0">HYPERLINK("https://www.icra.in/Rating/RatingDetails?CompanyId=0&amp;CompanyName=Swastik Traders", "Rationale")</f>
        <v/>
      </c>
    </row>
    <row r="2544">
      <c r="A2544" s="0" t="s">
        <v>5906</v>
      </c>
      <c r="B2544" s="0" t="s">
        <v>5907</v>
      </c>
      <c r="C2544" s="0" t="s">
        <v>457</v>
      </c>
      <c r="D2544" s="0">
        <f dt2D="0" dtr="0">HYPERLINK("https://www.icra.in/Rating/RatingDetails?CompanyId=0&amp;CompanyName=Swati Ornaments", "Rationale")</f>
        <v/>
      </c>
    </row>
    <row r="2545">
      <c r="A2545" s="0" t="s">
        <v>5908</v>
      </c>
      <c r="B2545" s="0" t="s">
        <v>5909</v>
      </c>
      <c r="C2545" s="0" t="s">
        <v>1486</v>
      </c>
      <c r="D2545" s="0">
        <f dt2D="0" dtr="0">HYPERLINK("https://www.icra.in/Rating/RatingDetails?CompanyId=0&amp;CompanyName=Swayamprabha Udyam &amp; Company", "Rationale")</f>
        <v/>
      </c>
    </row>
    <row r="2546">
      <c r="A2546" s="0" t="s">
        <v>5910</v>
      </c>
      <c r="B2546" s="0" t="s">
        <v>5911</v>
      </c>
      <c r="C2546" s="0" t="s">
        <v>2740</v>
      </c>
      <c r="D2546" s="0">
        <f dt2D="0" dtr="0">HYPERLINK("https://www.icra.in/Rating/RatingDetails?CompanyId=0&amp;CompanyName=Symcom Communication", "Rationale")</f>
        <v/>
      </c>
    </row>
    <row r="2547">
      <c r="A2547" s="0" t="s">
        <v>5912</v>
      </c>
      <c r="B2547" s="0" t="s">
        <v>5913</v>
      </c>
      <c r="C2547" s="0" t="s">
        <v>1350</v>
      </c>
      <c r="D2547" s="0">
        <f dt2D="0" dtr="0">HYPERLINK("https://www.icra.in/Rating/RatingDetails?CompanyId=0&amp;CompanyName=Synco Industries Limited", "Rationale")</f>
        <v/>
      </c>
    </row>
    <row r="2548">
      <c r="A2548" s="0" t="s">
        <v>5914</v>
      </c>
      <c r="B2548" s="0" t="s">
        <v>5915</v>
      </c>
      <c r="C2548" s="0" t="s">
        <v>71</v>
      </c>
      <c r="D2548" s="0">
        <f dt2D="0" dtr="0">HYPERLINK("https://www.icra.in/Rating/RatingDetails?CompanyId=0&amp;CompanyName=Synnova Ceramic Pvt. Ltd.", "Rationale")</f>
        <v/>
      </c>
    </row>
    <row r="2549">
      <c r="A2549" s="0" t="s">
        <v>5916</v>
      </c>
      <c r="B2549" s="0" t="s">
        <v>5917</v>
      </c>
      <c r="C2549" s="0" t="s">
        <v>5918</v>
      </c>
      <c r="D2549" s="0">
        <f dt2D="0" dtr="0">HYPERLINK("https://www.icra.in/Rating/RatingDetails?CompanyId=0&amp;CompanyName=Syscon Engineers", "Rationale")</f>
        <v/>
      </c>
    </row>
    <row r="2550">
      <c r="A2550" s="0" t="s">
        <v>5919</v>
      </c>
      <c r="B2550" s="0" t="s">
        <v>5920</v>
      </c>
      <c r="C2550" s="0" t="s">
        <v>278</v>
      </c>
      <c r="D2550" s="0">
        <f dt2D="0" dtr="0">HYPERLINK("https://www.icra.in/Rating/RatingDetails?CompanyId=0&amp;CompanyName=T.K. International Limited", "Rationale")</f>
        <v/>
      </c>
    </row>
    <row r="2551">
      <c r="A2551" s="0" t="s">
        <v>5921</v>
      </c>
      <c r="B2551" s="0" t="s">
        <v>5922</v>
      </c>
      <c r="C2551" s="0" t="s">
        <v>885</v>
      </c>
      <c r="D2551" s="0">
        <f dt2D="0" dtr="0">HYPERLINK("https://www.icra.in/Rating/RatingDetails?CompanyId=0&amp;CompanyName=Tadepalligudem Municipality", "Rationale")</f>
        <v/>
      </c>
    </row>
    <row r="2552">
      <c r="A2552" s="0" t="s">
        <v>5923</v>
      </c>
      <c r="B2552" s="0" t="s">
        <v>5924</v>
      </c>
      <c r="C2552" s="0" t="s">
        <v>211</v>
      </c>
      <c r="D2552" s="0">
        <f dt2D="0" dtr="0">HYPERLINK("https://www.icra.in/Rating/RatingDetails?CompanyId=0&amp;CompanyName=Tag Corporation", "Rationale")</f>
        <v/>
      </c>
    </row>
    <row r="2553">
      <c r="A2553" s="0" t="s">
        <v>5925</v>
      </c>
      <c r="B2553" s="0" t="s">
        <v>5926</v>
      </c>
      <c r="C2553" s="0" t="s">
        <v>12</v>
      </c>
      <c r="D2553" s="0">
        <f dt2D="0" dtr="0">HYPERLINK("https://www.icra.in/Rating/RatingDetails?CompanyId=0&amp;CompanyName=Taj Agro Commodities Private Limited", "Rationale")</f>
        <v/>
      </c>
    </row>
    <row r="2554">
      <c r="A2554" s="0" t="s">
        <v>5927</v>
      </c>
      <c r="B2554" s="0" t="s">
        <v>5928</v>
      </c>
      <c r="C2554" s="0" t="s">
        <v>12</v>
      </c>
      <c r="D2554" s="0">
        <f dt2D="0" dtr="0">HYPERLINK("https://www.icra.in/Rating/RatingDetails?CompanyId=0&amp;CompanyName=Taj Agro Industries Llp", "Rationale")</f>
        <v/>
      </c>
    </row>
    <row r="2555">
      <c r="A2555" s="0" t="s">
        <v>5929</v>
      </c>
      <c r="B2555" s="0" t="s">
        <v>5930</v>
      </c>
      <c r="C2555" s="0" t="s">
        <v>1148</v>
      </c>
      <c r="D2555" s="0">
        <f dt2D="0" dtr="0">HYPERLINK("https://www.icra.in/Rating/RatingDetails?CompanyId=0&amp;CompanyName=Taj Stone Crushers Llp", "Rationale")</f>
        <v/>
      </c>
    </row>
    <row r="2556">
      <c r="A2556" s="0" t="s">
        <v>5931</v>
      </c>
      <c r="B2556" s="0" t="s">
        <v>5932</v>
      </c>
      <c r="C2556" s="0" t="s">
        <v>5933</v>
      </c>
      <c r="D2556" s="0">
        <f dt2D="0" dtr="0">HYPERLINK("https://www.icra.in/Rating/RatingDetails?CompanyId=0&amp;CompanyName=Tamil Nadu Dindigul Karur Expressways Limited (TNDK)", "Rationale")</f>
        <v/>
      </c>
    </row>
    <row r="2557">
      <c r="A2557" s="0" t="s">
        <v>5934</v>
      </c>
      <c r="B2557" s="0" t="s">
        <v>5935</v>
      </c>
      <c r="C2557" s="0" t="s">
        <v>211</v>
      </c>
      <c r="D2557" s="0">
        <f dt2D="0" dtr="0">HYPERLINK("https://www.icra.in/Rating/RatingDetails?CompanyId=0&amp;CompanyName=Tamilnadu State Transport Corporation (Kumbakonam) Limited", "Rationale")</f>
        <v/>
      </c>
    </row>
    <row r="2558">
      <c r="A2558" s="0" t="s">
        <v>5936</v>
      </c>
      <c r="B2558" s="0" t="s">
        <v>5937</v>
      </c>
      <c r="C2558" s="0" t="s">
        <v>662</v>
      </c>
      <c r="D2558" s="0">
        <f dt2D="0" dtr="0">HYPERLINK("https://www.icra.in/Rating/RatingDetails?CompanyId=0&amp;CompanyName=Taneja Vidyut Control Private Limited", "Rationale")</f>
        <v/>
      </c>
    </row>
    <row r="2559">
      <c r="A2559" s="0" t="s">
        <v>5938</v>
      </c>
      <c r="B2559" s="0" t="s">
        <v>5939</v>
      </c>
      <c r="C2559" s="0" t="s">
        <v>2448</v>
      </c>
      <c r="D2559" s="0">
        <f dt2D="0" dtr="0">HYPERLINK("https://www.icra.in/Rating/RatingDetails?CompanyId=0&amp;CompanyName=Tanmay Polyfilms Private Limited", "Rationale")</f>
        <v/>
      </c>
    </row>
    <row r="2560">
      <c r="A2560" s="0" t="s">
        <v>5940</v>
      </c>
      <c r="B2560" s="0" t="s">
        <v>5941</v>
      </c>
      <c r="C2560" s="0" t="s">
        <v>71</v>
      </c>
      <c r="D2560" s="0">
        <f dt2D="0" dtr="0">HYPERLINK("https://www.icra.in/Rating/RatingDetails?CompanyId=0&amp;CompanyName=Tapti Agro Industries", "Rationale")</f>
        <v/>
      </c>
    </row>
    <row r="2561">
      <c r="A2561" s="0" t="s">
        <v>5942</v>
      </c>
      <c r="B2561" s="0" t="s">
        <v>5943</v>
      </c>
      <c r="C2561" s="0" t="s">
        <v>2343</v>
      </c>
      <c r="D2561" s="0">
        <f dt2D="0" dtr="0">HYPERLINK("https://www.icra.in/Rating/RatingDetails?CompanyId=0&amp;CompanyName=Tara Chand Rice Mills Pvt. Ltd.", "Rationale")</f>
        <v/>
      </c>
    </row>
    <row r="2562">
      <c r="A2562" s="0" t="s">
        <v>5944</v>
      </c>
      <c r="B2562" s="0" t="s">
        <v>5945</v>
      </c>
      <c r="C2562" s="0" t="s">
        <v>92</v>
      </c>
      <c r="D2562" s="0">
        <f dt2D="0" dtr="0">HYPERLINK("https://www.icra.in/Rating/RatingDetails?CompanyId=0&amp;CompanyName=Tayal Fibers", "Rationale")</f>
        <v/>
      </c>
    </row>
    <row r="2563">
      <c r="A2563" s="0" t="s">
        <v>5946</v>
      </c>
      <c r="B2563" s="0" t="s">
        <v>5947</v>
      </c>
      <c r="C2563" s="0" t="s">
        <v>92</v>
      </c>
      <c r="D2563" s="0">
        <f dt2D="0" dtr="0">HYPERLINK("https://www.icra.in/Rating/RatingDetails?CompanyId=0&amp;CompanyName=TBPR Infra Projects Private Limited", "Rationale")</f>
        <v/>
      </c>
    </row>
    <row r="2564">
      <c r="A2564" s="0" t="s">
        <v>5948</v>
      </c>
      <c r="B2564" s="0" t="s">
        <v>5949</v>
      </c>
      <c r="C2564" s="0" t="s">
        <v>457</v>
      </c>
      <c r="D2564" s="0">
        <f dt2D="0" dtr="0">HYPERLINK("https://www.icra.in/Rating/RatingDetails?CompanyId=0&amp;CompanyName=TCS and Associates Private Limited", "Rationale")</f>
        <v/>
      </c>
    </row>
    <row r="2565">
      <c r="A2565" s="0" t="s">
        <v>5950</v>
      </c>
      <c r="B2565" s="0" t="s">
        <v>5951</v>
      </c>
      <c r="C2565" s="0" t="s">
        <v>5952</v>
      </c>
      <c r="D2565" s="0">
        <f dt2D="0" dtr="0">HYPERLINK("https://www.icra.in/Rating/RatingDetails?CompanyId=0&amp;CompanyName=TD Toll Road Private Limited", "Rationale")</f>
        <v/>
      </c>
    </row>
    <row r="2566">
      <c r="A2566" s="0" t="s">
        <v>5953</v>
      </c>
      <c r="B2566" s="0" t="s">
        <v>5954</v>
      </c>
      <c r="C2566" s="0" t="s">
        <v>752</v>
      </c>
      <c r="D2566" s="0">
        <f dt2D="0" dtr="0">HYPERLINK("https://www.icra.in/Rating/RatingDetails?CompanyId=0&amp;CompanyName=Team Engineers Advance Technologies India. Pvt. Ltd.", "Rationale")</f>
        <v/>
      </c>
    </row>
    <row r="2567">
      <c r="A2567" s="0" t="s">
        <v>5955</v>
      </c>
      <c r="B2567" s="0" t="s">
        <v>5956</v>
      </c>
      <c r="C2567" s="0" t="s">
        <v>314</v>
      </c>
      <c r="D2567" s="0">
        <f dt2D="0" dtr="0">HYPERLINK("https://www.icra.in/Rating/RatingDetails?CompanyId=0&amp;CompanyName=Techno India", "Rationale")</f>
        <v/>
      </c>
    </row>
    <row r="2568">
      <c r="A2568" s="0" t="s">
        <v>5957</v>
      </c>
      <c r="B2568" s="0" t="s">
        <v>5958</v>
      </c>
      <c r="C2568" s="0" t="s">
        <v>138</v>
      </c>
      <c r="D2568" s="0">
        <f dt2D="0" dtr="0">HYPERLINK("https://www.icra.in/Rating/RatingDetails?CompanyId=0&amp;CompanyName=Techser Power Solutions Pvt. Ltd.", "Rationale")</f>
        <v/>
      </c>
    </row>
    <row r="2569">
      <c r="A2569" s="0" t="s">
        <v>5959</v>
      </c>
      <c r="B2569" s="0" t="s">
        <v>5960</v>
      </c>
      <c r="C2569" s="0" t="s">
        <v>71</v>
      </c>
      <c r="D2569" s="0">
        <f dt2D="0" dtr="0">HYPERLINK("https://www.icra.in/Rating/RatingDetails?CompanyId=0&amp;CompanyName=Teekay Marines Private Limited", "Rationale")</f>
        <v/>
      </c>
    </row>
    <row r="2570">
      <c r="A2570" s="0" t="s">
        <v>5961</v>
      </c>
      <c r="B2570" s="0" t="s">
        <v>5962</v>
      </c>
      <c r="C2570" s="0" t="s">
        <v>138</v>
      </c>
      <c r="D2570" s="0">
        <f dt2D="0" dtr="0">HYPERLINK("https://www.icra.in/Rating/RatingDetails?CompanyId=0&amp;CompanyName=Tekza Ceramic LLP", "Rationale")</f>
        <v/>
      </c>
    </row>
    <row r="2571">
      <c r="A2571" s="0" t="s">
        <v>5963</v>
      </c>
      <c r="B2571" s="0" t="s">
        <v>5964</v>
      </c>
      <c r="C2571" s="0" t="s">
        <v>391</v>
      </c>
      <c r="D2571" s="0">
        <f dt2D="0" dtr="0">HYPERLINK("https://www.icra.in/Rating/RatingDetails?CompanyId=0&amp;CompanyName=Telawne Power Equipments Private Limited", "Rationale")</f>
        <v/>
      </c>
    </row>
    <row r="2572">
      <c r="A2572" s="0" t="s">
        <v>5965</v>
      </c>
      <c r="B2572" s="0" t="s">
        <v>5966</v>
      </c>
      <c r="C2572" s="0" t="s">
        <v>1335</v>
      </c>
      <c r="D2572" s="0">
        <f dt2D="0" dtr="0">HYPERLINK("https://www.icra.in/Rating/RatingDetails?CompanyId=0&amp;CompanyName=Tenali Municipality", "Rationale")</f>
        <v/>
      </c>
    </row>
    <row r="2573">
      <c r="A2573" s="0" t="s">
        <v>5967</v>
      </c>
      <c r="B2573" s="0" t="s">
        <v>5968</v>
      </c>
      <c r="C2573" s="0" t="s">
        <v>5969</v>
      </c>
      <c r="D2573" s="0">
        <f dt2D="0" dtr="0">HYPERLINK("https://www.icra.in/Rating/RatingDetails?CompanyId=0&amp;CompanyName=Tenshi Kaizen Private Limited", "Rationale")</f>
        <v/>
      </c>
    </row>
    <row r="2574">
      <c r="A2574" s="0" t="s">
        <v>5970</v>
      </c>
      <c r="B2574" s="0" t="s">
        <v>5971</v>
      </c>
      <c r="C2574" s="0" t="s">
        <v>2787</v>
      </c>
      <c r="D2574" s="0">
        <f dt2D="0" dtr="0">HYPERLINK("https://www.icra.in/Rating/RatingDetails?CompanyId=0&amp;CompanyName=Terra Energy Limited", "Rationale")</f>
        <v/>
      </c>
    </row>
    <row r="2575">
      <c r="A2575" s="0" t="s">
        <v>5972</v>
      </c>
      <c r="B2575" s="0" t="s">
        <v>5973</v>
      </c>
      <c r="C2575" s="0" t="s">
        <v>1917</v>
      </c>
      <c r="D2575" s="0">
        <f dt2D="0" dtr="0">HYPERLINK("https://www.icra.in/Rating/RatingDetails?CompanyId=0&amp;CompanyName=Texplas India Private Limited", "Rationale")</f>
        <v/>
      </c>
    </row>
    <row r="2576">
      <c r="A2576" s="0" t="s">
        <v>5974</v>
      </c>
      <c r="B2576" s="0" t="s">
        <v>5975</v>
      </c>
      <c r="C2576" s="0" t="s">
        <v>18</v>
      </c>
      <c r="D2576" s="0">
        <f dt2D="0" dtr="0">HYPERLINK("https://www.icra.in/Rating/RatingDetails?CompanyId=0&amp;CompanyName=Texture Clothing Company", "Rationale")</f>
        <v/>
      </c>
    </row>
    <row r="2577">
      <c r="A2577" s="0" t="s">
        <v>5976</v>
      </c>
      <c r="B2577" s="0" t="s">
        <v>5977</v>
      </c>
      <c r="C2577" s="0" t="s">
        <v>338</v>
      </c>
      <c r="D2577" s="0">
        <f dt2D="0" dtr="0">HYPERLINK("https://www.icra.in/Rating/RatingDetails?CompanyId=0&amp;CompanyName=Thakar Dass &amp; Co.", "Rationale")</f>
        <v/>
      </c>
    </row>
    <row r="2578">
      <c r="A2578" s="0" t="s">
        <v>5978</v>
      </c>
      <c r="B2578" s="0" t="s">
        <v>5979</v>
      </c>
      <c r="C2578" s="0" t="s">
        <v>324</v>
      </c>
      <c r="D2578" s="0">
        <f dt2D="0" dtr="0">HYPERLINK("https://www.icra.in/Rating/RatingDetails?CompanyId=0&amp;CompanyName=The Government Tele-communication Employees' Co-Operative Society Limited", "Rationale")</f>
        <v/>
      </c>
    </row>
    <row r="2579">
      <c r="A2579" s="0" t="s">
        <v>5980</v>
      </c>
      <c r="B2579" s="0" t="s">
        <v>5981</v>
      </c>
      <c r="C2579" s="0" t="s">
        <v>699</v>
      </c>
      <c r="D2579" s="0">
        <f dt2D="0" dtr="0">HYPERLINK("https://www.icra.in/Rating/RatingDetails?CompanyId=0&amp;CompanyName=The Karnataka Handloom Development Corporation Limited", "Rationale")</f>
        <v/>
      </c>
    </row>
    <row r="2580">
      <c r="A2580" s="0" t="s">
        <v>5982</v>
      </c>
      <c r="B2580" s="0" t="s">
        <v>5983</v>
      </c>
      <c r="C2580" s="0" t="s">
        <v>5186</v>
      </c>
      <c r="D2580" s="0">
        <f dt2D="0" dtr="0">HYPERLINK("https://www.icra.in/Rating/RatingDetails?CompanyId=0&amp;CompanyName=The Krishna Sahakari Sakkare Karkhane Niyamit", "Rationale")</f>
        <v/>
      </c>
    </row>
    <row r="2581">
      <c r="A2581" s="0" t="s">
        <v>5984</v>
      </c>
      <c r="B2581" s="0" t="s">
        <v>5985</v>
      </c>
      <c r="C2581" s="0" t="s">
        <v>2853</v>
      </c>
      <c r="D2581" s="0">
        <f dt2D="0" dtr="0">HYPERLINK("https://www.icra.in/Rating/RatingDetails?CompanyId=0&amp;CompanyName=The Mahatma Gandhi Sahakara Sakkare Karkhane", "Rationale")</f>
        <v/>
      </c>
    </row>
    <row r="2582">
      <c r="A2582" s="0" t="s">
        <v>5986</v>
      </c>
      <c r="B2582" s="0" t="s">
        <v>5987</v>
      </c>
      <c r="C2582" s="0" t="s">
        <v>5988</v>
      </c>
      <c r="D2582" s="0">
        <f dt2D="0" dtr="0">HYPERLINK("https://www.icra.in/Rating/RatingDetails?CompanyId=0&amp;CompanyName=The Montfort Educational Society", "Rationale")</f>
        <v/>
      </c>
    </row>
    <row r="2583">
      <c r="A2583" s="0" t="s">
        <v>5989</v>
      </c>
      <c r="B2583" s="0" t="s">
        <v>5990</v>
      </c>
      <c r="C2583" s="0" t="s">
        <v>4851</v>
      </c>
      <c r="D2583" s="0">
        <f dt2D="0" dtr="0">HYPERLINK("https://www.icra.in/Rating/RatingDetails?CompanyId=0&amp;CompanyName=The South India Paper Mills Limited", "Rationale")</f>
        <v/>
      </c>
    </row>
    <row r="2584">
      <c r="A2584" s="0" t="s">
        <v>5991</v>
      </c>
      <c r="B2584" s="0" t="s">
        <v>5992</v>
      </c>
      <c r="C2584" s="0" t="s">
        <v>2758</v>
      </c>
      <c r="D2584" s="0">
        <f dt2D="0" dtr="0">HYPERLINK("https://www.icra.in/Rating/RatingDetails?CompanyId=0&amp;CompanyName=The Vasista Educational Society", "Rationale")</f>
        <v/>
      </c>
    </row>
    <row r="2585">
      <c r="A2585" s="0" t="s">
        <v>5993</v>
      </c>
      <c r="B2585" s="0" t="s">
        <v>5994</v>
      </c>
      <c r="C2585" s="0" t="s">
        <v>3271</v>
      </c>
      <c r="D2585" s="0">
        <f dt2D="0" dtr="0">HYPERLINK("https://www.icra.in/Rating/RatingDetails?CompanyId=0&amp;CompanyName=The Vijayawada Electricity Employees Cooperative Credit Society Limited", "Rationale")</f>
        <v/>
      </c>
    </row>
    <row r="2586">
      <c r="A2586" s="0" t="s">
        <v>5995</v>
      </c>
      <c r="B2586" s="0" t="s">
        <v>5996</v>
      </c>
      <c r="C2586" s="0" t="s">
        <v>1437</v>
      </c>
      <c r="D2586" s="0">
        <f dt2D="0" dtr="0">HYPERLINK("https://www.icra.in/Rating/RatingDetails?CompanyId=0&amp;CompanyName=THE WOODIND", "Rationale")</f>
        <v/>
      </c>
    </row>
    <row r="2587">
      <c r="A2587" s="0" t="s">
        <v>5997</v>
      </c>
      <c r="B2587" s="0" t="s">
        <v>5998</v>
      </c>
      <c r="C2587" s="0" t="s">
        <v>416</v>
      </c>
      <c r="D2587" s="0">
        <f dt2D="0" dtr="0">HYPERLINK("https://www.icra.in/Rating/RatingDetails?CompanyId=0&amp;CompanyName=Therapiva Private Limited", "Rationale")</f>
        <v/>
      </c>
    </row>
    <row r="2588">
      <c r="A2588" s="0" t="s">
        <v>5999</v>
      </c>
      <c r="B2588" s="0" t="s">
        <v>6000</v>
      </c>
      <c r="C2588" s="0" t="s">
        <v>1489</v>
      </c>
      <c r="D2588" s="0">
        <f dt2D="0" dtr="0">HYPERLINK("https://www.icra.in/Rating/RatingDetails?CompanyId=0&amp;CompanyName=Therdose Pharma Private Limited", "Rationale")</f>
        <v/>
      </c>
    </row>
    <row r="2589">
      <c r="A2589" s="0" t="s">
        <v>6001</v>
      </c>
      <c r="B2589" s="0" t="s">
        <v>6002</v>
      </c>
      <c r="C2589" s="0" t="s">
        <v>71</v>
      </c>
      <c r="D2589" s="0">
        <f dt2D="0" dtr="0">HYPERLINK("https://www.icra.in/Rating/RatingDetails?CompanyId=0&amp;CompanyName=Thermoset Poly Products (I) Pvt. Ltd.", "Rationale")</f>
        <v/>
      </c>
    </row>
    <row r="2590">
      <c r="A2590" s="0" t="s">
        <v>6003</v>
      </c>
      <c r="B2590" s="0" t="s">
        <v>6004</v>
      </c>
      <c r="C2590" s="0" t="s">
        <v>2787</v>
      </c>
      <c r="D2590" s="0">
        <f dt2D="0" dtr="0">HYPERLINK("https://www.icra.in/Rating/RatingDetails?CompanyId=0&amp;CompanyName=Thiru Arooran Sugars Limited", "Rationale")</f>
        <v/>
      </c>
    </row>
    <row r="2591">
      <c r="A2591" s="0" t="s">
        <v>6005</v>
      </c>
      <c r="B2591" s="0" t="s">
        <v>6006</v>
      </c>
      <c r="C2591" s="0" t="s">
        <v>1872</v>
      </c>
      <c r="D2591" s="0">
        <f dt2D="0" dtr="0">HYPERLINK("https://www.icra.in/Rating/RatingDetails?CompanyId=0&amp;CompanyName=Thiru Margadarshi Construction (P) Ltd.", "Rationale")</f>
        <v/>
      </c>
    </row>
    <row r="2592">
      <c r="A2592" s="0" t="s">
        <v>6007</v>
      </c>
      <c r="B2592" s="0" t="s">
        <v>6008</v>
      </c>
      <c r="C2592" s="0" t="s">
        <v>1035</v>
      </c>
      <c r="D2592" s="0">
        <f dt2D="0" dtr="0">HYPERLINK("https://www.icra.in/Rating/RatingDetails?CompanyId=0&amp;CompanyName=Thirumala Knit Finisher", "Rationale")</f>
        <v/>
      </c>
    </row>
    <row r="2593">
      <c r="A2593" s="0" t="s">
        <v>6009</v>
      </c>
      <c r="B2593" s="0" t="s">
        <v>6010</v>
      </c>
      <c r="C2593" s="0" t="s">
        <v>6011</v>
      </c>
      <c r="D2593" s="0">
        <f dt2D="0" dtr="0">HYPERLINK("https://www.icra.in/Rating/RatingDetails?CompanyId=0&amp;CompanyName=Thumar Gems", "Rationale")</f>
        <v/>
      </c>
    </row>
    <row r="2594">
      <c r="A2594" s="0" t="s">
        <v>6012</v>
      </c>
      <c r="B2594" s="0" t="s">
        <v>6013</v>
      </c>
      <c r="C2594" s="0" t="s">
        <v>53</v>
      </c>
      <c r="D2594" s="0">
        <f dt2D="0" dtr="0">HYPERLINK("https://www.icra.in/Rating/RatingDetails?CompanyId=0&amp;CompanyName=TI Steels Private Limited", "Rationale")</f>
        <v/>
      </c>
    </row>
    <row r="2595">
      <c r="A2595" s="0" t="s">
        <v>6014</v>
      </c>
      <c r="B2595" s="0" t="s">
        <v>6015</v>
      </c>
      <c r="C2595" s="0" t="s">
        <v>1638</v>
      </c>
      <c r="D2595" s="0">
        <f dt2D="0" dtr="0">HYPERLINK("https://www.icra.in/Rating/RatingDetails?CompanyId=0&amp;CompanyName=Tijaria Polypipes Limited", "Rationale")</f>
        <v/>
      </c>
    </row>
    <row r="2596">
      <c r="A2596" s="0" t="s">
        <v>6016</v>
      </c>
      <c r="B2596" s="0" t="s">
        <v>6017</v>
      </c>
      <c r="C2596" s="0" t="s">
        <v>2819</v>
      </c>
      <c r="D2596" s="0">
        <f dt2D="0" dtr="0">HYPERLINK("https://www.icra.in/Rating/RatingDetails?CompanyId=0&amp;CompanyName=Tiruchirappalli District Co-Operative Milk Producers Union Limited", "Rationale")</f>
        <v/>
      </c>
    </row>
    <row r="2597">
      <c r="A2597" s="0" t="s">
        <v>6018</v>
      </c>
      <c r="B2597" s="0" t="s">
        <v>6019</v>
      </c>
      <c r="C2597" s="0" t="s">
        <v>1917</v>
      </c>
      <c r="D2597" s="0">
        <f dt2D="0" dtr="0">HYPERLINK("https://www.icra.in/Rating/RatingDetails?CompanyId=0&amp;CompanyName=Tirumala Educational Institutes", "Rationale")</f>
        <v/>
      </c>
    </row>
    <row r="2598">
      <c r="A2598" s="0" t="s">
        <v>6020</v>
      </c>
      <c r="B2598" s="0" t="s">
        <v>6021</v>
      </c>
      <c r="C2598" s="0" t="s">
        <v>81</v>
      </c>
      <c r="D2598" s="0">
        <f dt2D="0" dtr="0">HYPERLINK("https://www.icra.in/Rating/RatingDetails?CompanyId=0&amp;CompanyName=Tirumala Seven Hills Private Limited", "Rationale")</f>
        <v/>
      </c>
    </row>
    <row r="2599">
      <c r="A2599" s="0" t="s">
        <v>6022</v>
      </c>
      <c r="B2599" s="0" t="s">
        <v>6023</v>
      </c>
      <c r="C2599" s="0" t="s">
        <v>81</v>
      </c>
      <c r="D2599" s="0">
        <f dt2D="0" dtr="0">HYPERLINK("https://www.icra.in/Rating/RatingDetails?CompanyId=0&amp;CompanyName=Tirupathi Yarntex Spinners Private Limited", "Rationale")</f>
        <v/>
      </c>
    </row>
    <row r="2600">
      <c r="A2600" s="0" t="s">
        <v>6024</v>
      </c>
      <c r="B2600" s="0" t="s">
        <v>6025</v>
      </c>
      <c r="C2600" s="0" t="s">
        <v>3880</v>
      </c>
      <c r="D2600" s="0">
        <f dt2D="0" dtr="0">HYPERLINK("https://www.icra.in/Rating/RatingDetails?CompanyId=0&amp;CompanyName=Tirupati Cotton (Ghatanji)", "Rationale")</f>
        <v/>
      </c>
    </row>
    <row r="2601">
      <c r="A2601" s="0" t="s">
        <v>6026</v>
      </c>
      <c r="B2601" s="0" t="s">
        <v>6027</v>
      </c>
      <c r="C2601" s="0" t="s">
        <v>882</v>
      </c>
      <c r="D2601" s="0">
        <f dt2D="0" dtr="0">HYPERLINK("https://www.icra.in/Rating/RatingDetails?CompanyId=0&amp;CompanyName=Tirupati Cotton-Dwarka", "Rationale")</f>
        <v/>
      </c>
    </row>
    <row r="2602">
      <c r="A2602" s="0" t="s">
        <v>6028</v>
      </c>
      <c r="B2602" s="0" t="s">
        <v>6029</v>
      </c>
      <c r="C2602" s="0" t="s">
        <v>4470</v>
      </c>
      <c r="D2602" s="0">
        <f dt2D="0" dtr="0">HYPERLINK("https://www.icra.in/Rating/RatingDetails?CompanyId=0&amp;CompanyName=Tirupati Shelters Limited", "Rationale")</f>
        <v/>
      </c>
    </row>
    <row r="2603">
      <c r="A2603" s="0" t="s">
        <v>6030</v>
      </c>
      <c r="B2603" s="0" t="s">
        <v>6031</v>
      </c>
      <c r="C2603" s="0" t="s">
        <v>6032</v>
      </c>
      <c r="D2603" s="0">
        <f dt2D="0" dtr="0">HYPERLINK("https://www.icra.in/Rating/RatingDetails?CompanyId=0&amp;CompanyName=Tirupati Stonex Private Limited", "Rationale")</f>
        <v/>
      </c>
    </row>
    <row r="2604">
      <c r="A2604" s="0" t="s">
        <v>6033</v>
      </c>
      <c r="B2604" s="0" t="s">
        <v>6034</v>
      </c>
      <c r="C2604" s="0" t="s">
        <v>6035</v>
      </c>
      <c r="D2604" s="0">
        <f dt2D="0" dtr="0">HYPERLINK("https://www.icra.in/Rating/RatingDetails?CompanyId=0&amp;CompanyName=Tirupur District Co-operative Milk Producers Union Limited", "Rationale")</f>
        <v/>
      </c>
    </row>
    <row r="2605">
      <c r="A2605" s="0" t="s">
        <v>6036</v>
      </c>
      <c r="B2605" s="0" t="s">
        <v>6037</v>
      </c>
      <c r="C2605" s="0" t="s">
        <v>6038</v>
      </c>
      <c r="D2605" s="0">
        <f dt2D="0" dtr="0">HYPERLINK("https://www.icra.in/Rating/RatingDetails?CompanyId=0&amp;CompanyName=Titagarh Firema S.p.A.", "Rationale")</f>
        <v/>
      </c>
    </row>
    <row r="2606">
      <c r="A2606" s="0" t="s">
        <v>6039</v>
      </c>
      <c r="B2606" s="0" t="s">
        <v>6040</v>
      </c>
      <c r="C2606" s="0" t="s">
        <v>2750</v>
      </c>
      <c r="D2606" s="0">
        <f dt2D="0" dtr="0">HYPERLINK("https://www.icra.in/Rating/RatingDetails?CompanyId=0&amp;CompanyName=TK Toll Road Private Limited", "Rationale")</f>
        <v/>
      </c>
    </row>
    <row r="2607">
      <c r="A2607" s="0" t="s">
        <v>6041</v>
      </c>
      <c r="B2607" s="0" t="s">
        <v>6042</v>
      </c>
      <c r="C2607" s="0" t="s">
        <v>1759</v>
      </c>
      <c r="D2607" s="0">
        <f dt2D="0" dtr="0">HYPERLINK("https://www.icra.in/Rating/RatingDetails?CompanyId=0&amp;CompanyName=Tna Readymix (I) Pvt Ltd", "Rationale")</f>
        <v/>
      </c>
    </row>
    <row r="2608">
      <c r="A2608" s="0" t="s">
        <v>6043</v>
      </c>
      <c r="B2608" s="0" t="s">
        <v>6044</v>
      </c>
      <c r="C2608" s="0" t="s">
        <v>1335</v>
      </c>
      <c r="D2608" s="0">
        <f dt2D="0" dtr="0">HYPERLINK("https://www.icra.in/Rating/RatingDetails?CompanyId=0&amp;CompanyName=Topline Laminations Private Limited", "Rationale")</f>
        <v/>
      </c>
    </row>
    <row r="2609">
      <c r="A2609" s="0" t="s">
        <v>6045</v>
      </c>
      <c r="B2609" s="0" t="s">
        <v>6046</v>
      </c>
      <c r="C2609" s="0" t="s">
        <v>1335</v>
      </c>
      <c r="D2609" s="0">
        <f dt2D="0" dtr="0">HYPERLINK("https://www.icra.in/Rating/RatingDetails?CompanyId=0&amp;CompanyName=Topline Overseas", "Rationale")</f>
        <v/>
      </c>
    </row>
    <row r="2610">
      <c r="A2610" s="0" t="s">
        <v>6047</v>
      </c>
      <c r="B2610" s="0" t="s">
        <v>6048</v>
      </c>
      <c r="C2610" s="0" t="s">
        <v>492</v>
      </c>
      <c r="D2610" s="0">
        <f dt2D="0" dtr="0">HYPERLINK("https://www.icra.in/Rating/RatingDetails?CompanyId=0&amp;CompanyName=Toplink Motors Private Limited", "Rationale")</f>
        <v/>
      </c>
    </row>
    <row r="2611">
      <c r="A2611" s="0" t="s">
        <v>6049</v>
      </c>
      <c r="B2611" s="0" t="s">
        <v>6050</v>
      </c>
      <c r="C2611" s="0" t="s">
        <v>3910</v>
      </c>
      <c r="D2611" s="0">
        <f dt2D="0" dtr="0">HYPERLINK("https://www.icra.in/Rating/RatingDetails?CompanyId=0&amp;CompanyName=Toshali Cements Private Limited", "Rationale")</f>
        <v/>
      </c>
    </row>
    <row r="2612">
      <c r="A2612" s="0" t="s">
        <v>6051</v>
      </c>
      <c r="B2612" s="0" t="s">
        <v>6052</v>
      </c>
      <c r="C2612" s="0" t="s">
        <v>6053</v>
      </c>
      <c r="D2612" s="0">
        <f dt2D="0" dtr="0">HYPERLINK("https://www.icra.in/Rating/RatingDetails?CompanyId=0&amp;CompanyName=Track Innovations (India) Private Limited", "Rationale")</f>
        <v/>
      </c>
    </row>
    <row r="2613">
      <c r="A2613" s="0" t="s">
        <v>6054</v>
      </c>
      <c r="B2613" s="0" t="s">
        <v>6055</v>
      </c>
      <c r="C2613" s="0" t="s">
        <v>6056</v>
      </c>
      <c r="D2613" s="0">
        <f dt2D="0" dtr="0">HYPERLINK("https://www.icra.in/Rating/RatingDetails?CompanyId=0&amp;CompanyName=Trans Global Securities Limited", "Rationale")</f>
        <v/>
      </c>
    </row>
    <row r="2614">
      <c r="A2614" s="0" t="s">
        <v>6057</v>
      </c>
      <c r="B2614" s="0" t="s">
        <v>6058</v>
      </c>
      <c r="C2614" s="0" t="s">
        <v>1017</v>
      </c>
      <c r="D2614" s="0">
        <f dt2D="0" dtr="0">HYPERLINK("https://www.icra.in/Rating/RatingDetails?CompanyId=0&amp;CompanyName=Transtek Infoways Private Limited", "Rationale")</f>
        <v/>
      </c>
    </row>
    <row r="2615">
      <c r="A2615" s="0" t="s">
        <v>6059</v>
      </c>
      <c r="B2615" s="0" t="s">
        <v>6060</v>
      </c>
      <c r="C2615" s="0" t="s">
        <v>278</v>
      </c>
      <c r="D2615" s="0">
        <f dt2D="0" dtr="0">HYPERLINK("https://www.icra.in/Rating/RatingDetails?CompanyId=0&amp;CompanyName=Travancore Cocotuft Private Limited", "Rationale")</f>
        <v/>
      </c>
    </row>
    <row r="2616">
      <c r="A2616" s="0" t="s">
        <v>6061</v>
      </c>
      <c r="B2616" s="0" t="s">
        <v>6062</v>
      </c>
      <c r="C2616" s="0" t="s">
        <v>819</v>
      </c>
      <c r="D2616" s="0">
        <f dt2D="0" dtr="0">HYPERLINK("https://www.icra.in/Rating/RatingDetails?CompanyId=0&amp;CompanyName=Trichy Thanjavur Expressways Limited", "Rationale")</f>
        <v/>
      </c>
    </row>
    <row r="2617">
      <c r="A2617" s="0" t="s">
        <v>6063</v>
      </c>
      <c r="B2617" s="0" t="s">
        <v>6064</v>
      </c>
      <c r="C2617" s="0" t="s">
        <v>433</v>
      </c>
      <c r="D2617" s="0">
        <f dt2D="0" dtr="0">HYPERLINK("https://www.icra.in/Rating/RatingDetails?CompanyId=0&amp;CompanyName=Trident Sugars Limited", "Rationale")</f>
        <v/>
      </c>
    </row>
    <row r="2618">
      <c r="A2618" s="0" t="s">
        <v>6065</v>
      </c>
      <c r="B2618" s="0" t="s">
        <v>6066</v>
      </c>
      <c r="C2618" s="0" t="s">
        <v>652</v>
      </c>
      <c r="D2618" s="0">
        <f dt2D="0" dtr="0">HYPERLINK("https://www.icra.in/Rating/RatingDetails?CompanyId=0&amp;CompanyName=Trimurthi Hitech Company Private Limited", "Rationale")</f>
        <v/>
      </c>
    </row>
    <row r="2619">
      <c r="A2619" s="0" t="s">
        <v>6067</v>
      </c>
      <c r="B2619" s="0" t="s">
        <v>6068</v>
      </c>
      <c r="C2619" s="0" t="s">
        <v>2838</v>
      </c>
      <c r="D2619" s="0">
        <f dt2D="0" dtr="0">HYPERLINK("https://www.icra.in/Rating/RatingDetails?CompanyId=0&amp;CompanyName=Trineva Infra Projects Private Limited", "Rationale")</f>
        <v/>
      </c>
    </row>
    <row r="2620">
      <c r="A2620" s="0" t="s">
        <v>6069</v>
      </c>
      <c r="B2620" s="0" t="s">
        <v>6070</v>
      </c>
      <c r="C2620" s="0" t="s">
        <v>1174</v>
      </c>
      <c r="D2620" s="0">
        <f dt2D="0" dtr="0">HYPERLINK("https://www.icra.in/Rating/RatingDetails?CompanyId=0&amp;CompanyName=Trishakti Agro Foods", "Rationale")</f>
        <v/>
      </c>
    </row>
    <row r="2621">
      <c r="A2621" s="0" t="s">
        <v>6071</v>
      </c>
      <c r="B2621" s="0" t="s">
        <v>6072</v>
      </c>
      <c r="C2621" s="0" t="s">
        <v>6073</v>
      </c>
      <c r="D2621" s="0">
        <f dt2D="0" dtr="0">HYPERLINK("https://www.icra.in/Rating/RatingDetails?CompanyId=0&amp;CompanyName=Tristar Intercontinental Pvt Ltd", "Rationale")</f>
        <v/>
      </c>
    </row>
    <row r="2622">
      <c r="A2622" s="0" t="s">
        <v>6074</v>
      </c>
      <c r="B2622" s="0" t="s">
        <v>6075</v>
      </c>
      <c r="C2622" s="0" t="s">
        <v>5390</v>
      </c>
      <c r="D2622" s="0">
        <f dt2D="0" dtr="0">HYPERLINK("https://www.icra.in/Rating/RatingDetails?CompanyId=0&amp;CompanyName=Triumph Wires Private Limited", "Rationale")</f>
        <v/>
      </c>
    </row>
    <row r="2623">
      <c r="A2623" s="0" t="s">
        <v>6076</v>
      </c>
      <c r="B2623" s="0" t="s">
        <v>6077</v>
      </c>
      <c r="C2623" s="0" t="s">
        <v>6078</v>
      </c>
      <c r="D2623" s="0">
        <f dt2D="0" dtr="0">HYPERLINK("https://www.icra.in/Rating/RatingDetails?CompanyId=0&amp;CompanyName=Triveni Enterprises", "Rationale")</f>
        <v/>
      </c>
    </row>
    <row r="2624">
      <c r="A2624" s="0" t="s">
        <v>6079</v>
      </c>
      <c r="B2624" s="0" t="s">
        <v>6080</v>
      </c>
      <c r="C2624" s="0" t="s">
        <v>6</v>
      </c>
      <c r="D2624" s="0">
        <f dt2D="0" dtr="0">HYPERLINK("https://www.icra.in/Rating/RatingDetails?CompanyId=0&amp;CompanyName=Triveni Silk Mills", "Rationale")</f>
        <v/>
      </c>
    </row>
    <row r="2625">
      <c r="A2625" s="0" t="s">
        <v>6081</v>
      </c>
      <c r="B2625" s="0" t="s">
        <v>6082</v>
      </c>
      <c r="C2625" s="0" t="s">
        <v>2428</v>
      </c>
      <c r="D2625" s="0">
        <f dt2D="0" dtr="0">HYPERLINK("https://www.icra.in/Rating/RatingDetails?CompanyId=0&amp;CompanyName=Triveni Smelters Private Limited", "Rationale")</f>
        <v/>
      </c>
    </row>
    <row r="2626">
      <c r="A2626" s="0" t="s">
        <v>6083</v>
      </c>
      <c r="B2626" s="0" t="s">
        <v>6084</v>
      </c>
      <c r="C2626" s="0" t="s">
        <v>3595</v>
      </c>
      <c r="D2626" s="0">
        <f dt2D="0" dtr="0">HYPERLINK("https://www.icra.in/Rating/RatingDetails?CompanyId=0&amp;CompanyName=Triveni Wires Private Limited", "Rationale")</f>
        <v/>
      </c>
    </row>
    <row r="2627">
      <c r="A2627" s="0" t="s">
        <v>6085</v>
      </c>
      <c r="B2627" s="0" t="s">
        <v>6086</v>
      </c>
      <c r="C2627" s="0" t="s">
        <v>828</v>
      </c>
      <c r="D2627" s="0">
        <f dt2D="0" dtr="0">HYPERLINK("https://www.icra.in/Rating/RatingDetails?CompanyId=0&amp;CompanyName=TRT Builders &amp; Constructions (India) Private Limited", "Rationale")</f>
        <v/>
      </c>
    </row>
    <row r="2628">
      <c r="A2628" s="0" t="s">
        <v>6087</v>
      </c>
      <c r="B2628" s="0" t="s">
        <v>6088</v>
      </c>
      <c r="C2628" s="0" t="s">
        <v>71</v>
      </c>
      <c r="D2628" s="0">
        <f dt2D="0" dtr="0">HYPERLINK("https://www.icra.in/Rating/RatingDetails?CompanyId=0&amp;CompanyName=Truevalue Engineering Private Limited", "Rationale")</f>
        <v/>
      </c>
    </row>
    <row r="2629">
      <c r="A2629" s="0" t="s">
        <v>6089</v>
      </c>
      <c r="B2629" s="0" t="s">
        <v>6090</v>
      </c>
      <c r="C2629" s="0" t="s">
        <v>71</v>
      </c>
      <c r="D2629" s="0">
        <f dt2D="0" dtr="0">HYPERLINK("https://www.icra.in/Rating/RatingDetails?CompanyId=0&amp;CompanyName=Truwoods Private Limited", "Rationale")</f>
        <v/>
      </c>
    </row>
    <row r="2630">
      <c r="A2630" s="0" t="s">
        <v>6091</v>
      </c>
      <c r="B2630" s="0" t="s">
        <v>6092</v>
      </c>
      <c r="C2630" s="0" t="s">
        <v>1917</v>
      </c>
      <c r="D2630" s="0">
        <f dt2D="0" dtr="0">HYPERLINK("https://www.icra.in/Rating/RatingDetails?CompanyId=0&amp;CompanyName=TRW Sun Steering Wheels Pvt. Ltd.", "Rationale")</f>
        <v/>
      </c>
    </row>
    <row r="2631">
      <c r="A2631" s="0" t="s">
        <v>6093</v>
      </c>
      <c r="B2631" s="0" t="s">
        <v>6094</v>
      </c>
      <c r="C2631" s="0" t="s">
        <v>3284</v>
      </c>
      <c r="D2631" s="0">
        <f dt2D="0" dtr="0">HYPERLINK("https://www.icra.in/Rating/RatingDetails?CompanyId=0&amp;CompanyName=Tube Turn India Private Limited", "Rationale")</f>
        <v/>
      </c>
    </row>
    <row r="2632">
      <c r="A2632" s="0" t="s">
        <v>6095</v>
      </c>
      <c r="B2632" s="0" t="s">
        <v>6096</v>
      </c>
      <c r="C2632" s="0" t="s">
        <v>6097</v>
      </c>
      <c r="D2632" s="0">
        <f dt2D="0" dtr="0">HYPERLINK("https://www.icra.in/Rating/RatingDetails?CompanyId=0&amp;CompanyName=Tulip Granites Pvt. Ltd.", "Rationale")</f>
        <v/>
      </c>
    </row>
    <row r="2633">
      <c r="A2633" s="0" t="s">
        <v>6098</v>
      </c>
      <c r="B2633" s="0" t="s">
        <v>6099</v>
      </c>
      <c r="C2633" s="0" t="s">
        <v>6100</v>
      </c>
      <c r="D2633" s="0">
        <f dt2D="0" dtr="0">HYPERLINK("https://www.icra.in/Rating/RatingDetails?CompanyId=0&amp;CompanyName=Tulip Telecom Limited", "Rationale")</f>
        <v/>
      </c>
    </row>
    <row r="2634">
      <c r="A2634" s="0" t="s">
        <v>6101</v>
      </c>
      <c r="B2634" s="0" t="s">
        <v>6102</v>
      </c>
      <c r="C2634" s="0" t="s">
        <v>525</v>
      </c>
      <c r="D2634" s="0">
        <f dt2D="0" dtr="0">HYPERLINK("https://www.icra.in/Rating/RatingDetails?CompanyId=0&amp;CompanyName=Tulsiani Constructions &amp; Developers Limited", "Rationale")</f>
        <v/>
      </c>
    </row>
    <row r="2635">
      <c r="A2635" s="0" t="s">
        <v>6103</v>
      </c>
      <c r="B2635" s="0" t="s">
        <v>6104</v>
      </c>
      <c r="C2635" s="0" t="s">
        <v>3013</v>
      </c>
      <c r="D2635" s="0">
        <f dt2D="0" dtr="0">HYPERLINK("https://www.icra.in/Rating/RatingDetails?CompanyId=0&amp;CompanyName=Turbovent Industries Private Limited", "Rationale")</f>
        <v/>
      </c>
    </row>
    <row r="2636">
      <c r="A2636" s="0" t="s">
        <v>6105</v>
      </c>
      <c r="B2636" s="0" t="s">
        <v>6106</v>
      </c>
      <c r="C2636" s="0" t="s">
        <v>71</v>
      </c>
      <c r="D2636" s="0">
        <f dt2D="0" dtr="0">HYPERLINK("https://www.icra.in/Rating/RatingDetails?CompanyId=0&amp;CompanyName=Turquoise &amp; Gold Apparels Private Limited", "Rationale")</f>
        <v/>
      </c>
    </row>
    <row r="2637">
      <c r="A2637" s="0" t="s">
        <v>6107</v>
      </c>
      <c r="B2637" s="0" t="s">
        <v>6108</v>
      </c>
      <c r="C2637" s="0" t="s">
        <v>1588</v>
      </c>
      <c r="D2637" s="0">
        <f dt2D="0" dtr="0">HYPERLINK("https://www.icra.in/Rating/RatingDetails?CompanyId=0&amp;CompanyName=U D Developers LLP", "Rationale")</f>
        <v/>
      </c>
    </row>
    <row r="2638">
      <c r="A2638" s="0" t="s">
        <v>6109</v>
      </c>
      <c r="B2638" s="0" t="s">
        <v>6110</v>
      </c>
      <c r="C2638" s="0" t="s">
        <v>405</v>
      </c>
      <c r="D2638" s="0">
        <f dt2D="0" dtr="0">HYPERLINK("https://www.icra.in/Rating/RatingDetails?CompanyId=0&amp;CompanyName=U Goenka Sons Private Limited", "Rationale")</f>
        <v/>
      </c>
    </row>
    <row r="2639">
      <c r="A2639" s="0" t="s">
        <v>6111</v>
      </c>
      <c r="B2639" s="0" t="s">
        <v>6112</v>
      </c>
      <c r="C2639" s="0" t="s">
        <v>637</v>
      </c>
      <c r="D2639" s="0">
        <f dt2D="0" dtr="0">HYPERLINK("https://www.icra.in/Rating/RatingDetails?CompanyId=0&amp;CompanyName=U P Telelinks Limited", "Rationale")</f>
        <v/>
      </c>
    </row>
    <row r="2640">
      <c r="A2640" s="0" t="s">
        <v>6113</v>
      </c>
      <c r="B2640" s="0" t="s">
        <v>6114</v>
      </c>
      <c r="C2640" s="0" t="s">
        <v>436</v>
      </c>
      <c r="D2640" s="0">
        <f dt2D="0" dtr="0">HYPERLINK("https://www.icra.in/Rating/RatingDetails?CompanyId=0&amp;CompanyName=Ujjawal Textiles", "Rationale")</f>
        <v/>
      </c>
    </row>
    <row r="2641">
      <c r="A2641" s="0" t="s">
        <v>6115</v>
      </c>
      <c r="B2641" s="0" t="s">
        <v>6116</v>
      </c>
      <c r="C2641" s="0" t="s">
        <v>183</v>
      </c>
      <c r="D2641" s="0">
        <f dt2D="0" dtr="0">HYPERLINK("https://www.icra.in/Rating/RatingDetails?CompanyId=0&amp;CompanyName=Uma Rani Agrotech Private Limited", "Rationale")</f>
        <v/>
      </c>
    </row>
    <row r="2642">
      <c r="A2642" s="0" t="s">
        <v>6117</v>
      </c>
      <c r="B2642" s="0" t="s">
        <v>6118</v>
      </c>
      <c r="C2642" s="0" t="s">
        <v>514</v>
      </c>
      <c r="D2642" s="0">
        <f dt2D="0" dtr="0">HYPERLINK("https://www.icra.in/Rating/RatingDetails?CompanyId=0&amp;CompanyName=Umesh &amp; Bros. Construction", "Rationale")</f>
        <v/>
      </c>
    </row>
    <row r="2643">
      <c r="A2643" s="0" t="s">
        <v>6119</v>
      </c>
      <c r="B2643" s="0" t="s">
        <v>6120</v>
      </c>
      <c r="C2643" s="0" t="s">
        <v>552</v>
      </c>
      <c r="D2643" s="0">
        <f dt2D="0" dtr="0">HYPERLINK("https://www.icra.in/Rating/RatingDetails?CompanyId=0&amp;CompanyName=Umiya Industries", "Rationale")</f>
        <v/>
      </c>
    </row>
    <row r="2644">
      <c r="A2644" s="0" t="s">
        <v>6121</v>
      </c>
      <c r="B2644" s="0" t="s">
        <v>6122</v>
      </c>
      <c r="C2644" s="0" t="s">
        <v>467</v>
      </c>
      <c r="D2644" s="0">
        <f dt2D="0" dtr="0">HYPERLINK("https://www.icra.in/Rating/RatingDetails?CompanyId=0&amp;CompanyName=UMSL Limited (erstwhile Utkal Manufacturing &amp; Services Limited)", "Rationale")</f>
        <v/>
      </c>
    </row>
    <row r="2645">
      <c r="A2645" s="0" t="s">
        <v>6123</v>
      </c>
      <c r="B2645" s="0" t="s">
        <v>6124</v>
      </c>
      <c r="C2645" s="0" t="s">
        <v>6125</v>
      </c>
      <c r="D2645" s="0">
        <f dt2D="0" dtr="0">HYPERLINK("https://www.icra.in/Rating/RatingDetails?CompanyId=0&amp;CompanyName=Uni Ads Limited", "Rationale")</f>
        <v/>
      </c>
    </row>
    <row r="2646">
      <c r="A2646" s="0" t="s">
        <v>6126</v>
      </c>
      <c r="B2646" s="0" t="s">
        <v>6127</v>
      </c>
      <c r="C2646" s="0" t="s">
        <v>5356</v>
      </c>
      <c r="D2646" s="0">
        <f dt2D="0" dtr="0">HYPERLINK("https://www.icra.in/Rating/RatingDetails?CompanyId=0&amp;CompanyName=Uniflex Industries Private Limited", "Rationale")</f>
        <v/>
      </c>
    </row>
    <row r="2647">
      <c r="A2647" s="0" t="s">
        <v>6128</v>
      </c>
      <c r="B2647" s="0" t="s">
        <v>6129</v>
      </c>
      <c r="C2647" s="0" t="s">
        <v>223</v>
      </c>
      <c r="D2647" s="0">
        <f dt2D="0" dtr="0">HYPERLINK("https://www.icra.in/Rating/RatingDetails?CompanyId=0&amp;CompanyName=Unihira Exports Private Limited", "Rationale")</f>
        <v/>
      </c>
    </row>
    <row r="2648">
      <c r="A2648" s="0" t="s">
        <v>6130</v>
      </c>
      <c r="B2648" s="0" t="s">
        <v>6131</v>
      </c>
      <c r="C2648" s="0" t="s">
        <v>514</v>
      </c>
      <c r="D2648" s="0">
        <f dt2D="0" dtr="0">HYPERLINK("https://www.icra.in/Rating/RatingDetails?CompanyId=0&amp;CompanyName=Unique Gems", "Rationale")</f>
        <v/>
      </c>
    </row>
    <row r="2649">
      <c r="A2649" s="0" t="s">
        <v>6132</v>
      </c>
      <c r="B2649" s="0" t="s">
        <v>6133</v>
      </c>
      <c r="C2649" s="0" t="s">
        <v>2979</v>
      </c>
      <c r="D2649" s="0">
        <f dt2D="0" dtr="0">HYPERLINK("https://www.icra.in/Rating/RatingDetails?CompanyId=0&amp;CompanyName=Unique Multifilms Virudhunagar Private Limited", "Rationale")</f>
        <v/>
      </c>
    </row>
    <row r="2650">
      <c r="A2650" s="0" t="s">
        <v>6134</v>
      </c>
      <c r="B2650" s="0" t="s">
        <v>6135</v>
      </c>
      <c r="C2650" s="0" t="s">
        <v>1461</v>
      </c>
      <c r="D2650" s="0">
        <f dt2D="0" dtr="0">HYPERLINK("https://www.icra.in/Rating/RatingDetails?CompanyId=0&amp;CompanyName=Unique Ship Breaking Corporation", "Rationale")</f>
        <v/>
      </c>
    </row>
    <row r="2651">
      <c r="A2651" s="0" t="s">
        <v>6136</v>
      </c>
      <c r="B2651" s="0" t="s">
        <v>6137</v>
      </c>
      <c r="C2651" s="0" t="s">
        <v>3845</v>
      </c>
      <c r="D2651" s="0">
        <f dt2D="0" dtr="0">HYPERLINK("https://www.icra.in/Rating/RatingDetails?CompanyId=0&amp;CompanyName=Uni-Tech Automation Private Limited", "Rationale")</f>
        <v/>
      </c>
    </row>
    <row r="2652">
      <c r="A2652" s="0" t="s">
        <v>6138</v>
      </c>
      <c r="B2652" s="0" t="s">
        <v>6139</v>
      </c>
      <c r="C2652" s="0" t="s">
        <v>36</v>
      </c>
      <c r="D2652" s="0">
        <f dt2D="0" dtr="0">HYPERLINK("https://www.icra.in/Rating/RatingDetails?CompanyId=0&amp;CompanyName=Unitech Cotspin Limited.", "Rationale")</f>
        <v/>
      </c>
    </row>
    <row r="2653">
      <c r="A2653" s="0" t="s">
        <v>6140</v>
      </c>
      <c r="B2653" s="0" t="s">
        <v>6141</v>
      </c>
      <c r="C2653" s="0" t="s">
        <v>109</v>
      </c>
      <c r="D2653" s="0">
        <f dt2D="0" dtr="0">HYPERLINK("https://www.icra.in/Rating/RatingDetails?CompanyId=0&amp;CompanyName=Unitech Mercantile Private Limited", "Rationale")</f>
        <v/>
      </c>
    </row>
    <row r="2654">
      <c r="A2654" s="0" t="s">
        <v>6142</v>
      </c>
      <c r="B2654" s="0" t="s">
        <v>6143</v>
      </c>
      <c r="C2654" s="0" t="s">
        <v>1093</v>
      </c>
      <c r="D2654" s="0">
        <f dt2D="0" dtr="0">HYPERLINK("https://www.icra.in/Rating/RatingDetails?CompanyId=0&amp;CompanyName=United Bleachers Private Limited", "Rationale")</f>
        <v/>
      </c>
    </row>
    <row r="2655">
      <c r="A2655" s="0" t="s">
        <v>6144</v>
      </c>
      <c r="B2655" s="0" t="s">
        <v>6145</v>
      </c>
      <c r="C2655" s="0" t="s">
        <v>492</v>
      </c>
      <c r="D2655" s="0">
        <f dt2D="0" dtr="0">HYPERLINK("https://www.icra.in/Rating/RatingDetails?CompanyId=0&amp;CompanyName=United Composheets Private Limited", "Rationale")</f>
        <v/>
      </c>
    </row>
    <row r="2656">
      <c r="A2656" s="0" t="s">
        <v>6146</v>
      </c>
      <c r="B2656" s="0" t="s">
        <v>6147</v>
      </c>
      <c r="C2656" s="0" t="s">
        <v>1355</v>
      </c>
      <c r="D2656" s="0">
        <f dt2D="0" dtr="0">HYPERLINK("https://www.icra.in/Rating/RatingDetails?CompanyId=0&amp;CompanyName=United Concepts &amp; Solutions Private Limited", "Rationale")</f>
        <v/>
      </c>
    </row>
    <row r="2657">
      <c r="A2657" s="0" t="s">
        <v>6148</v>
      </c>
      <c r="B2657" s="0" t="s">
        <v>6149</v>
      </c>
      <c r="C2657" s="0" t="s">
        <v>634</v>
      </c>
      <c r="D2657" s="0">
        <f dt2D="0" dtr="0">HYPERLINK("https://www.icra.in/Rating/RatingDetails?CompanyId=0&amp;CompanyName=United Electricals &amp; Engineering Pvt Ltd", "Rationale")</f>
        <v/>
      </c>
    </row>
    <row r="2658">
      <c r="A2658" s="0" t="s">
        <v>6150</v>
      </c>
      <c r="B2658" s="0" t="s">
        <v>6151</v>
      </c>
      <c r="C2658" s="0" t="s">
        <v>492</v>
      </c>
      <c r="D2658" s="0">
        <f dt2D="0" dtr="0">HYPERLINK("https://www.icra.in/Rating/RatingDetails?CompanyId=0&amp;CompanyName=United Hotels &amp; Properties Private Limited", "Rationale")</f>
        <v/>
      </c>
    </row>
    <row r="2659">
      <c r="A2659" s="0" t="s">
        <v>6152</v>
      </c>
      <c r="B2659" s="0" t="s">
        <v>6153</v>
      </c>
      <c r="C2659" s="0" t="s">
        <v>183</v>
      </c>
      <c r="D2659" s="0">
        <f dt2D="0" dtr="0">HYPERLINK("https://www.icra.in/Rating/RatingDetails?CompanyId=0&amp;CompanyName=United Nanotechnologies Limited", "Rationale")</f>
        <v/>
      </c>
    </row>
    <row r="2660">
      <c r="A2660" s="0" t="s">
        <v>6154</v>
      </c>
      <c r="B2660" s="0" t="s">
        <v>6155</v>
      </c>
      <c r="C2660" s="0" t="s">
        <v>71</v>
      </c>
      <c r="D2660" s="0">
        <f dt2D="0" dtr="0">HYPERLINK("https://www.icra.in/Rating/RatingDetails?CompanyId=0&amp;CompanyName=United Technomech Engineers Private Limited", "Rationale")</f>
        <v/>
      </c>
    </row>
    <row r="2661">
      <c r="A2661" s="0" t="s">
        <v>6156</v>
      </c>
      <c r="B2661" s="0" t="s">
        <v>6157</v>
      </c>
      <c r="C2661" s="0" t="s">
        <v>4475</v>
      </c>
      <c r="D2661" s="0">
        <f dt2D="0" dtr="0">HYPERLINK("https://www.icra.in/Rating/RatingDetails?CompanyId=0&amp;CompanyName=Unity Care &amp; Health Services Private Limited", "Rationale")</f>
        <v/>
      </c>
    </row>
    <row r="2662">
      <c r="A2662" s="0" t="s">
        <v>6158</v>
      </c>
      <c r="B2662" s="0" t="s">
        <v>6159</v>
      </c>
      <c r="C2662" s="0" t="s">
        <v>197</v>
      </c>
      <c r="D2662" s="0">
        <f dt2D="0" dtr="0">HYPERLINK("https://www.icra.in/Rating/RatingDetails?CompanyId=0&amp;CompanyName=Universal Freight Management (India) Private Limited", "Rationale")</f>
        <v/>
      </c>
    </row>
    <row r="2663">
      <c r="A2663" s="0" t="s">
        <v>6160</v>
      </c>
      <c r="B2663" s="0" t="s">
        <v>6161</v>
      </c>
      <c r="C2663" s="0" t="s">
        <v>634</v>
      </c>
      <c r="D2663" s="0">
        <f dt2D="0" dtr="0">HYPERLINK("https://www.icra.in/Rating/RatingDetails?CompanyId=0&amp;CompanyName=Universal India Agro Foods", "Rationale")</f>
        <v/>
      </c>
    </row>
    <row r="2664">
      <c r="A2664" s="0" t="s">
        <v>6162</v>
      </c>
      <c r="B2664" s="0" t="s">
        <v>6163</v>
      </c>
      <c r="C2664" s="0" t="s">
        <v>1363</v>
      </c>
      <c r="D2664" s="0">
        <f dt2D="0" dtr="0">HYPERLINK("https://www.icra.in/Rating/RatingDetails?CompanyId=0&amp;CompanyName=Upper India Smelting &amp; Refinery Works", "Rationale")</f>
        <v/>
      </c>
    </row>
    <row r="2665">
      <c r="A2665" s="0" t="s">
        <v>6164</v>
      </c>
      <c r="B2665" s="0" t="s">
        <v>6165</v>
      </c>
      <c r="C2665" s="0" t="s">
        <v>2853</v>
      </c>
      <c r="D2665" s="0">
        <f dt2D="0" dtr="0">HYPERLINK("https://www.icra.in/Rating/RatingDetails?CompanyId=0&amp;CompanyName=Ur Realtors Private Limited", "Rationale")</f>
        <v/>
      </c>
    </row>
    <row r="2666">
      <c r="A2666" s="0" t="s">
        <v>6166</v>
      </c>
      <c r="B2666" s="0" t="s">
        <v>6167</v>
      </c>
      <c r="C2666" s="0" t="s">
        <v>1394</v>
      </c>
      <c r="D2666" s="0">
        <f dt2D="0" dtr="0">HYPERLINK("https://www.icra.in/Rating/RatingDetails?CompanyId=0&amp;CompanyName=Urbanscape Properties LLP", "Rationale")</f>
        <v/>
      </c>
    </row>
    <row r="2667">
      <c r="A2667" s="0" t="s">
        <v>6168</v>
      </c>
      <c r="B2667" s="0" t="s">
        <v>6169</v>
      </c>
      <c r="C2667" s="0" t="s">
        <v>71</v>
      </c>
      <c r="D2667" s="0">
        <f dt2D="0" dtr="0">HYPERLINK("https://www.icra.in/Rating/RatingDetails?CompanyId=0&amp;CompanyName=Urja Automobiles Private Limited", "Rationale")</f>
        <v/>
      </c>
    </row>
    <row r="2668">
      <c r="A2668" s="0" t="s">
        <v>6170</v>
      </c>
      <c r="B2668" s="0" t="s">
        <v>6171</v>
      </c>
      <c r="C2668" s="0" t="s">
        <v>71</v>
      </c>
      <c r="D2668" s="0">
        <f dt2D="0" dtr="0">HYPERLINK("https://www.icra.in/Rating/RatingDetails?CompanyId=0&amp;CompanyName=Urvesh Psyllium Industries Ltd.", "Rationale")</f>
        <v/>
      </c>
    </row>
    <row r="2669">
      <c r="A2669" s="0" t="s">
        <v>6172</v>
      </c>
      <c r="B2669" s="0" t="s">
        <v>6173</v>
      </c>
      <c r="C2669" s="0" t="s">
        <v>6174</v>
      </c>
      <c r="D2669" s="0">
        <f dt2D="0" dtr="0">HYPERLINK("https://www.icra.in/Rating/RatingDetails?CompanyId=0&amp;CompanyName=Urvi Plastic Industries", "Rationale")</f>
        <v/>
      </c>
    </row>
    <row r="2670">
      <c r="A2670" s="0" t="s">
        <v>6175</v>
      </c>
      <c r="B2670" s="0" t="s">
        <v>6176</v>
      </c>
      <c r="C2670" s="0" t="s">
        <v>6177</v>
      </c>
      <c r="D2670" s="0">
        <f dt2D="0" dtr="0">HYPERLINK("https://www.icra.in/Rating/RatingDetails?CompanyId=0&amp;CompanyName=USHA Shriram Enterprises Private Limited", "Rationale")</f>
        <v/>
      </c>
    </row>
    <row r="2671">
      <c r="A2671" s="0" t="s">
        <v>6178</v>
      </c>
      <c r="B2671" s="0" t="s">
        <v>6179</v>
      </c>
      <c r="C2671" s="0" t="s">
        <v>6180</v>
      </c>
      <c r="D2671" s="0">
        <f dt2D="0" dtr="0">HYPERLINK("https://www.icra.in/Rating/RatingDetails?CompanyId=0&amp;CompanyName=Utility Forms Private Limited", "Rationale")</f>
        <v/>
      </c>
    </row>
    <row r="2672">
      <c r="A2672" s="0" t="s">
        <v>6181</v>
      </c>
      <c r="B2672" s="0" t="s">
        <v>6182</v>
      </c>
      <c r="C2672" s="0" t="s">
        <v>842</v>
      </c>
      <c r="D2672" s="0">
        <f dt2D="0" dtr="0">HYPERLINK("https://www.icra.in/Rating/RatingDetails?CompanyId=0&amp;CompanyName=Utkal Automobiles Private Limited", "Rationale")</f>
        <v/>
      </c>
    </row>
    <row r="2673">
      <c r="A2673" s="0" t="s">
        <v>6183</v>
      </c>
      <c r="B2673" s="0" t="s">
        <v>6184</v>
      </c>
      <c r="C2673" s="0" t="s">
        <v>3271</v>
      </c>
      <c r="D2673" s="0">
        <f dt2D="0" dtr="0">HYPERLINK("https://www.icra.in/Rating/RatingDetails?CompanyId=0&amp;CompanyName=Uttarayan Foods Private Limited", "Rationale")</f>
        <v/>
      </c>
    </row>
    <row r="2674">
      <c r="A2674" s="0" t="s">
        <v>6185</v>
      </c>
      <c r="B2674" s="0" t="s">
        <v>6186</v>
      </c>
      <c r="C2674" s="0" t="s">
        <v>71</v>
      </c>
      <c r="D2674" s="0">
        <f dt2D="0" dtr="0">HYPERLINK("https://www.icra.in/Rating/RatingDetails?CompanyId=0&amp;CompanyName=Uttarayan Steel Private Limited", "Rationale")</f>
        <v/>
      </c>
    </row>
    <row r="2675">
      <c r="A2675" s="0" t="s">
        <v>6187</v>
      </c>
      <c r="B2675" s="0" t="s">
        <v>6188</v>
      </c>
      <c r="C2675" s="0" t="s">
        <v>852</v>
      </c>
      <c r="D2675" s="0">
        <f dt2D="0" dtr="0">HYPERLINK("https://www.icra.in/Rating/RatingDetails?CompanyId=0&amp;CompanyName=V.I.R Foods Limited", "Rationale")</f>
        <v/>
      </c>
    </row>
    <row r="2676">
      <c r="A2676" s="0" t="s">
        <v>6189</v>
      </c>
      <c r="B2676" s="0" t="s">
        <v>6190</v>
      </c>
      <c r="C2676" s="0" t="s">
        <v>828</v>
      </c>
      <c r="D2676" s="0">
        <f dt2D="0" dtr="0">HYPERLINK("https://www.icra.in/Rating/RatingDetails?CompanyId=0&amp;CompanyName=V.K. Gopal", "Rationale")</f>
        <v/>
      </c>
    </row>
    <row r="2677">
      <c r="A2677" s="0" t="s">
        <v>6191</v>
      </c>
      <c r="B2677" s="0" t="s">
        <v>6192</v>
      </c>
      <c r="C2677" s="0" t="s">
        <v>4314</v>
      </c>
      <c r="D2677" s="0">
        <f dt2D="0" dtr="0">HYPERLINK("https://www.icra.in/Rating/RatingDetails?CompanyId=0&amp;CompanyName=V.M And Co", "Rationale")</f>
        <v/>
      </c>
    </row>
    <row r="2678">
      <c r="A2678" s="0" t="s">
        <v>6193</v>
      </c>
      <c r="B2678" s="0" t="s">
        <v>6194</v>
      </c>
      <c r="C2678" s="0" t="s">
        <v>5659</v>
      </c>
      <c r="D2678" s="0">
        <f dt2D="0" dtr="0">HYPERLINK("https://www.icra.in/Rating/RatingDetails?CompanyId=0&amp;CompanyName=V.M. Bakery Products Private Limited", "Rationale")</f>
        <v/>
      </c>
    </row>
    <row r="2679">
      <c r="A2679" s="0" t="s">
        <v>6195</v>
      </c>
      <c r="B2679" s="0" t="s">
        <v>6196</v>
      </c>
      <c r="C2679" s="0" t="s">
        <v>6197</v>
      </c>
      <c r="D2679" s="0">
        <f dt2D="0" dtr="0">HYPERLINK("https://www.icra.in/Rating/RatingDetails?CompanyId=0&amp;CompanyName=V.R.K. Associates Private Limited", "Rationale")</f>
        <v/>
      </c>
    </row>
    <row r="2680">
      <c r="A2680" s="0" t="s">
        <v>6198</v>
      </c>
      <c r="B2680" s="0" t="s">
        <v>6199</v>
      </c>
      <c r="C2680" s="0" t="s">
        <v>71</v>
      </c>
      <c r="D2680" s="0">
        <f dt2D="0" dtr="0">HYPERLINK("https://www.icra.in/Rating/RatingDetails?CompanyId=0&amp;CompanyName=V.S. Ecoblocks Private Limited", "Rationale")</f>
        <v/>
      </c>
    </row>
    <row r="2681">
      <c r="A2681" s="0" t="s">
        <v>6200</v>
      </c>
      <c r="B2681" s="0" t="s">
        <v>6201</v>
      </c>
      <c r="C2681" s="0" t="s">
        <v>1234</v>
      </c>
      <c r="D2681" s="0">
        <f dt2D="0" dtr="0">HYPERLINK("https://www.icra.in/Rating/RatingDetails?CompanyId=0&amp;CompanyName=V3S Infratech Limited", "Rationale")</f>
        <v/>
      </c>
    </row>
    <row r="2682">
      <c r="A2682" s="0" t="s">
        <v>6202</v>
      </c>
      <c r="B2682" s="0" t="s">
        <v>6203</v>
      </c>
      <c r="C2682" s="0" t="s">
        <v>842</v>
      </c>
      <c r="D2682" s="0">
        <f dt2D="0" dtr="0">HYPERLINK("https://www.icra.in/Rating/RatingDetails?CompanyId=0&amp;CompanyName=V-Access India Pvt. Ltd.", "Rationale")</f>
        <v/>
      </c>
    </row>
    <row r="2683">
      <c r="A2683" s="0" t="s">
        <v>6204</v>
      </c>
      <c r="B2683" s="0" t="s">
        <v>6205</v>
      </c>
      <c r="C2683" s="0" t="s">
        <v>1131</v>
      </c>
      <c r="D2683" s="0">
        <f dt2D="0" dtr="0">HYPERLINK("https://www.icra.in/Rating/RatingDetails?CompanyId=0&amp;CompanyName=Vadim Infrastructure Private Limited", "Rationale")</f>
        <v/>
      </c>
    </row>
    <row r="2684">
      <c r="A2684" s="0" t="s">
        <v>6206</v>
      </c>
      <c r="B2684" s="0" t="s">
        <v>6207</v>
      </c>
      <c r="C2684" s="0" t="s">
        <v>81</v>
      </c>
      <c r="D2684" s="0">
        <f dt2D="0" dtr="0">HYPERLINK("https://www.icra.in/Rating/RatingDetails?CompanyId=0&amp;CompanyName=Vadsola Ceramic", "Rationale")</f>
        <v/>
      </c>
    </row>
    <row r="2685">
      <c r="A2685" s="0" t="s">
        <v>6208</v>
      </c>
      <c r="B2685" s="0" t="s">
        <v>6209</v>
      </c>
      <c r="C2685" s="0" t="s">
        <v>6210</v>
      </c>
      <c r="D2685" s="0">
        <f dt2D="0" dtr="0">HYPERLINK("https://www.icra.in/Rating/RatingDetails?CompanyId=0&amp;CompanyName=Vaibhav Laxmi Tex Pvt. Ltd.", "Rationale")</f>
        <v/>
      </c>
    </row>
    <row r="2686">
      <c r="A2686" s="0" t="s">
        <v>6211</v>
      </c>
      <c r="B2686" s="0" t="s">
        <v>6212</v>
      </c>
      <c r="C2686" s="0" t="s">
        <v>71</v>
      </c>
      <c r="D2686" s="0">
        <f dt2D="0" dtr="0">HYPERLINK("https://www.icra.in/Rating/RatingDetails?CompanyId=0&amp;CompanyName=Vaidehi Enterprises", "Rationale")</f>
        <v/>
      </c>
    </row>
    <row r="2687">
      <c r="A2687" s="0" t="s">
        <v>6213</v>
      </c>
      <c r="B2687" s="0" t="s">
        <v>6214</v>
      </c>
      <c r="C2687" s="0" t="s">
        <v>492</v>
      </c>
      <c r="D2687" s="0">
        <f dt2D="0" dtr="0">HYPERLINK("https://www.icra.in/Rating/RatingDetails?CompanyId=0&amp;CompanyName=Vaighai Agro Products Limited", "Rationale")</f>
        <v/>
      </c>
    </row>
    <row r="2688">
      <c r="A2688" s="0" t="s">
        <v>6215</v>
      </c>
      <c r="B2688" s="0" t="s">
        <v>6216</v>
      </c>
      <c r="C2688" s="0" t="s">
        <v>5309</v>
      </c>
      <c r="D2688" s="0">
        <f dt2D="0" dtr="0">HYPERLINK("https://www.icra.in/Rating/RatingDetails?CompanyId=0&amp;CompanyName=Vaishnavi Biotech Limited", "Rationale")</f>
        <v/>
      </c>
    </row>
    <row r="2689">
      <c r="A2689" s="0" t="s">
        <v>6217</v>
      </c>
      <c r="B2689" s="0" t="s">
        <v>6218</v>
      </c>
      <c r="C2689" s="0" t="s">
        <v>92</v>
      </c>
      <c r="D2689" s="0">
        <f dt2D="0" dtr="0">HYPERLINK("https://www.icra.in/Rating/RatingDetails?CompanyId=0&amp;CompanyName=Vaishnavi Food Products", "Rationale")</f>
        <v/>
      </c>
    </row>
    <row r="2690">
      <c r="A2690" s="0" t="s">
        <v>6219</v>
      </c>
      <c r="B2690" s="0" t="s">
        <v>6220</v>
      </c>
      <c r="C2690" s="0" t="s">
        <v>50</v>
      </c>
      <c r="D2690" s="0">
        <f dt2D="0" dtr="0">HYPERLINK("https://www.icra.in/Rating/RatingDetails?CompanyId=0&amp;CompanyName=Vaishnavi Lifecare Pvt Ltd", "Rationale")</f>
        <v/>
      </c>
    </row>
    <row r="2691">
      <c r="A2691" s="0" t="s">
        <v>6221</v>
      </c>
      <c r="B2691" s="0" t="s">
        <v>6222</v>
      </c>
      <c r="C2691" s="0" t="s">
        <v>71</v>
      </c>
      <c r="D2691" s="0">
        <f dt2D="0" dtr="0">HYPERLINK("https://www.icra.in/Rating/RatingDetails?CompanyId=0&amp;CompanyName=Valencia Ceramic Private Limited", "Rationale")</f>
        <v/>
      </c>
    </row>
    <row r="2692">
      <c r="A2692" s="0" t="s">
        <v>6223</v>
      </c>
      <c r="B2692" s="0" t="s">
        <v>6224</v>
      </c>
      <c r="C2692" s="0" t="s">
        <v>1541</v>
      </c>
      <c r="D2692" s="0">
        <f dt2D="0" dtr="0">HYPERLINK("https://www.icra.in/Rating/RatingDetails?CompanyId=0&amp;CompanyName=Value Pharma Retail (Hyd) Pvt. Ltd", "Rationale")</f>
        <v/>
      </c>
    </row>
    <row r="2693">
      <c r="A2693" s="0" t="s">
        <v>6225</v>
      </c>
      <c r="B2693" s="0" t="s">
        <v>6226</v>
      </c>
      <c r="C2693" s="0" t="s">
        <v>197</v>
      </c>
      <c r="D2693" s="0">
        <f dt2D="0" dtr="0">HYPERLINK("https://www.icra.in/Rating/RatingDetails?CompanyId=0&amp;CompanyName=Vama Infra", "Rationale")</f>
        <v/>
      </c>
    </row>
    <row r="2694">
      <c r="A2694" s="0" t="s">
        <v>6227</v>
      </c>
      <c r="B2694" s="0" t="s">
        <v>6228</v>
      </c>
      <c r="C2694" s="0" t="s">
        <v>511</v>
      </c>
      <c r="D2694" s="0">
        <f dt2D="0" dtr="0">HYPERLINK("https://www.icra.in/Rating/RatingDetails?CompanyId=0&amp;CompanyName=Vamsi Pharma Private Limited", "Rationale")</f>
        <v/>
      </c>
    </row>
    <row r="2695">
      <c r="A2695" s="0" t="s">
        <v>6229</v>
      </c>
      <c r="B2695" s="0" t="s">
        <v>6230</v>
      </c>
      <c r="C2695" s="0" t="s">
        <v>6231</v>
      </c>
      <c r="D2695" s="0">
        <f dt2D="0" dtr="0">HYPERLINK("https://www.icra.in/Rating/RatingDetails?CompanyId=0&amp;CompanyName=Vanshika Construction", "Rationale")</f>
        <v/>
      </c>
    </row>
    <row r="2696">
      <c r="A2696" s="0" t="s">
        <v>6232</v>
      </c>
      <c r="B2696" s="0" t="s">
        <v>6233</v>
      </c>
      <c r="C2696" s="0" t="s">
        <v>100</v>
      </c>
      <c r="D2696" s="0">
        <f dt2D="0" dtr="0">HYPERLINK("https://www.icra.in/Rating/RatingDetails?CompanyId=0&amp;CompanyName=Vanshika Sugar &amp; Power Industries Limited", "Rationale")</f>
        <v/>
      </c>
    </row>
    <row r="2697">
      <c r="A2697" s="0" t="s">
        <v>6234</v>
      </c>
      <c r="B2697" s="0" t="s">
        <v>6235</v>
      </c>
      <c r="C2697" s="0" t="s">
        <v>1072</v>
      </c>
      <c r="D2697" s="0">
        <f dt2D="0" dtr="0">HYPERLINK("https://www.icra.in/Rating/RatingDetails?CompanyId=0&amp;CompanyName=Varadharaja Foods Private Limited", "Rationale")</f>
        <v/>
      </c>
    </row>
    <row r="2698">
      <c r="A2698" s="0" t="s">
        <v>6236</v>
      </c>
      <c r="B2698" s="0" t="s">
        <v>6237</v>
      </c>
      <c r="C2698" s="0" t="s">
        <v>6238</v>
      </c>
      <c r="D2698" s="0">
        <f dt2D="0" dtr="0">HYPERLINK("https://www.icra.in/Rating/RatingDetails?CompanyId=0&amp;CompanyName=Varalakshmi Starch Industries Private Limited", "Rationale")</f>
        <v/>
      </c>
    </row>
    <row r="2699">
      <c r="A2699" s="0" t="s">
        <v>6239</v>
      </c>
      <c r="B2699" s="0" t="s">
        <v>6240</v>
      </c>
      <c r="C2699" s="0" t="s">
        <v>1006</v>
      </c>
      <c r="D2699" s="0">
        <f dt2D="0" dtr="0">HYPERLINK("https://www.icra.in/Rating/RatingDetails?CompanyId=0&amp;CompanyName=Vardhaman College of Engineering", "Rationale")</f>
        <v/>
      </c>
    </row>
    <row r="2700">
      <c r="A2700" s="0" t="s">
        <v>6241</v>
      </c>
      <c r="B2700" s="0" t="s">
        <v>6242</v>
      </c>
      <c r="C2700" s="0" t="s">
        <v>12</v>
      </c>
      <c r="D2700" s="0">
        <f dt2D="0" dtr="0">HYPERLINK("https://www.icra.in/Rating/RatingDetails?CompanyId=0&amp;CompanyName=Vardhaman Pressure Die Casting", "Rationale")</f>
        <v/>
      </c>
    </row>
    <row r="2701">
      <c r="A2701" s="0" t="s">
        <v>6243</v>
      </c>
      <c r="B2701" s="0" t="s">
        <v>6244</v>
      </c>
      <c r="C2701" s="0" t="s">
        <v>81</v>
      </c>
      <c r="D2701" s="0">
        <f dt2D="0" dtr="0">HYPERLINK("https://www.icra.in/Rating/RatingDetails?CompanyId=0&amp;CompanyName=Vardhini Industries", "Rationale")</f>
        <v/>
      </c>
    </row>
    <row r="2702">
      <c r="A2702" s="0" t="s">
        <v>6245</v>
      </c>
      <c r="B2702" s="0" t="s">
        <v>6246</v>
      </c>
      <c r="C2702" s="0" t="s">
        <v>2930</v>
      </c>
      <c r="D2702" s="0">
        <f dt2D="0" dtr="0">HYPERLINK("https://www.icra.in/Rating/RatingDetails?CompanyId=0&amp;CompanyName=Vardhman Polytex Limited", "Rationale")</f>
        <v/>
      </c>
    </row>
    <row r="2703">
      <c r="A2703" s="0" t="s">
        <v>6247</v>
      </c>
      <c r="B2703" s="0" t="s">
        <v>6248</v>
      </c>
      <c r="C2703" s="0" t="s">
        <v>752</v>
      </c>
      <c r="D2703" s="0">
        <f dt2D="0" dtr="0">HYPERLINK("https://www.icra.in/Rating/RatingDetails?CompanyId=0&amp;CompanyName=Vardhman Roller Flour Mills Private Limited", "Rationale")</f>
        <v/>
      </c>
    </row>
    <row r="2704">
      <c r="A2704" s="0" t="s">
        <v>6249</v>
      </c>
      <c r="B2704" s="0" t="s">
        <v>6250</v>
      </c>
      <c r="C2704" s="0" t="s">
        <v>1541</v>
      </c>
      <c r="D2704" s="0">
        <f dt2D="0" dtr="0">HYPERLINK("https://www.icra.in/Rating/RatingDetails?CompanyId=0&amp;CompanyName=Vardhman Vitrified Private Limited", "Rationale")</f>
        <v/>
      </c>
    </row>
    <row r="2705">
      <c r="A2705" s="0" t="s">
        <v>6251</v>
      </c>
      <c r="B2705" s="0" t="s">
        <v>6252</v>
      </c>
      <c r="C2705" s="0" t="s">
        <v>1437</v>
      </c>
      <c r="D2705" s="0">
        <f dt2D="0" dtr="0">HYPERLINK("https://www.icra.in/Rating/RatingDetails?CompanyId=0&amp;CompanyName=Vareli Tecnac Private Limited", "Rationale")</f>
        <v/>
      </c>
    </row>
    <row r="2706">
      <c r="A2706" s="0" t="s">
        <v>6253</v>
      </c>
      <c r="B2706" s="0" t="s">
        <v>6254</v>
      </c>
      <c r="C2706" s="0" t="s">
        <v>6255</v>
      </c>
      <c r="D2706" s="0">
        <f dt2D="0" dtr="0">HYPERLINK("https://www.icra.in/Rating/RatingDetails?CompanyId=0&amp;CompanyName=Varun Enterprises", "Rationale")</f>
        <v/>
      </c>
    </row>
    <row r="2707">
      <c r="A2707" s="0" t="s">
        <v>6256</v>
      </c>
      <c r="B2707" s="0" t="s">
        <v>6257</v>
      </c>
      <c r="C2707" s="0" t="s">
        <v>314</v>
      </c>
      <c r="D2707" s="0">
        <f dt2D="0" dtr="0">HYPERLINK("https://www.icra.in/Rating/RatingDetails?CompanyId=0&amp;CompanyName=Vasavi Food Processing Industries", "Rationale")</f>
        <v/>
      </c>
    </row>
    <row r="2708">
      <c r="A2708" s="0" t="s">
        <v>6258</v>
      </c>
      <c r="B2708" s="0" t="s">
        <v>6259</v>
      </c>
      <c r="C2708" s="0" t="s">
        <v>405</v>
      </c>
      <c r="D2708" s="0">
        <f dt2D="0" dtr="0">HYPERLINK("https://www.icra.in/Rating/RatingDetails?CompanyId=0&amp;CompanyName=VASU COCO RESORTS PRIVATE LIMITED", "Rationale")</f>
        <v/>
      </c>
    </row>
    <row r="2709">
      <c r="A2709" s="0" t="s">
        <v>6260</v>
      </c>
      <c r="B2709" s="0" t="s">
        <v>6261</v>
      </c>
      <c r="C2709" s="0" t="s">
        <v>247</v>
      </c>
      <c r="D2709" s="0">
        <f dt2D="0" dtr="0">HYPERLINK("https://www.icra.in/Rating/RatingDetails?CompanyId=0&amp;CompanyName=Vasundhara Developers", "Rationale")</f>
        <v/>
      </c>
    </row>
    <row r="2710">
      <c r="A2710" s="0" t="s">
        <v>6262</v>
      </c>
      <c r="B2710" s="0" t="s">
        <v>6263</v>
      </c>
      <c r="C2710" s="0" t="s">
        <v>1437</v>
      </c>
      <c r="D2710" s="0">
        <f dt2D="0" dtr="0">HYPERLINK("https://www.icra.in/Rating/RatingDetails?CompanyId=0&amp;CompanyName=Vasupati Agro Product Private Limited", "Rationale")</f>
        <v/>
      </c>
    </row>
    <row r="2711">
      <c r="A2711" s="0" t="s">
        <v>6264</v>
      </c>
      <c r="B2711" s="0" t="s">
        <v>6265</v>
      </c>
      <c r="C2711" s="0" t="s">
        <v>192</v>
      </c>
      <c r="D2711" s="0">
        <f dt2D="0" dtr="0">HYPERLINK("https://www.icra.in/Rating/RatingDetails?CompanyId=0&amp;CompanyName=Vatsal Construction Co.", "Rationale")</f>
        <v/>
      </c>
    </row>
    <row r="2712">
      <c r="A2712" s="0" t="s">
        <v>6266</v>
      </c>
      <c r="B2712" s="0" t="s">
        <v>6267</v>
      </c>
      <c r="C2712" s="0" t="s">
        <v>71</v>
      </c>
      <c r="D2712" s="0">
        <f dt2D="0" dtr="0">HYPERLINK("https://www.icra.in/Rating/RatingDetails?CompanyId=0&amp;CompanyName=Vedamatha Enterprises Pvt Ltd", "Rationale")</f>
        <v/>
      </c>
    </row>
    <row r="2713">
      <c r="A2713" s="0" t="s">
        <v>6268</v>
      </c>
      <c r="B2713" s="0" t="s">
        <v>6269</v>
      </c>
      <c r="C2713" s="0" t="s">
        <v>71</v>
      </c>
      <c r="D2713" s="0">
        <f dt2D="0" dtr="0">HYPERLINK("https://www.icra.in/Rating/RatingDetails?CompanyId=0&amp;CompanyName=Veejay International (India)", "Rationale")</f>
        <v/>
      </c>
    </row>
    <row r="2714">
      <c r="A2714" s="0" t="s">
        <v>6270</v>
      </c>
      <c r="B2714" s="0" t="s">
        <v>6271</v>
      </c>
      <c r="C2714" s="0" t="s">
        <v>211</v>
      </c>
      <c r="D2714" s="0">
        <f dt2D="0" dtr="0">HYPERLINK("https://www.icra.in/Rating/RatingDetails?CompanyId=0&amp;CompanyName=Veepee Cotex Corporation", "Rationale")</f>
        <v/>
      </c>
    </row>
    <row r="2715">
      <c r="A2715" s="0" t="s">
        <v>6272</v>
      </c>
      <c r="B2715" s="0" t="s">
        <v>6273</v>
      </c>
      <c r="C2715" s="0" t="s">
        <v>983</v>
      </c>
      <c r="D2715" s="0">
        <f dt2D="0" dtr="0">HYPERLINK("https://www.icra.in/Rating/RatingDetails?CompanyId=0&amp;CompanyName=Veeraj Construction", "Rationale")</f>
        <v/>
      </c>
    </row>
    <row r="2716">
      <c r="A2716" s="0" t="s">
        <v>6274</v>
      </c>
      <c r="B2716" s="0" t="s">
        <v>6275</v>
      </c>
      <c r="C2716" s="0" t="s">
        <v>2402</v>
      </c>
      <c r="D2716" s="0">
        <f dt2D="0" dtr="0">HYPERLINK("https://www.icra.in/Rating/RatingDetails?CompanyId=0&amp;CompanyName=Veeramakali Memorial Welfare Trust", "Rationale")</f>
        <v/>
      </c>
    </row>
    <row r="2717">
      <c r="A2717" s="0" t="s">
        <v>6276</v>
      </c>
      <c r="B2717" s="0" t="s">
        <v>6277</v>
      </c>
      <c r="C2717" s="0" t="s">
        <v>3083</v>
      </c>
      <c r="D2717" s="0">
        <f dt2D="0" dtr="0">HYPERLINK("https://www.icra.in/Rating/RatingDetails?CompanyId=0&amp;CompanyName=Velammal Educational Trust", "Rationale")</f>
        <v/>
      </c>
    </row>
    <row r="2718">
      <c r="A2718" s="0" t="s">
        <v>6278</v>
      </c>
      <c r="B2718" s="0" t="s">
        <v>6279</v>
      </c>
      <c r="C2718" s="0" t="s">
        <v>36</v>
      </c>
      <c r="D2718" s="0">
        <f dt2D="0" dtr="0">HYPERLINK("https://www.icra.in/Rating/RatingDetails?CompanyId=0&amp;CompanyName=Velko Infratek Projects Private Limited", "Rationale")</f>
        <v/>
      </c>
    </row>
    <row r="2719">
      <c r="A2719" s="0" t="s">
        <v>6280</v>
      </c>
      <c r="B2719" s="0" t="s">
        <v>6281</v>
      </c>
      <c r="C2719" s="0" t="s">
        <v>1941</v>
      </c>
      <c r="D2719" s="0">
        <f dt2D="0" dtr="0">HYPERLINK("https://www.icra.in/Rating/RatingDetails?CompanyId=0&amp;CompanyName=Venkar Chemicals Private Limited", "Rationale")</f>
        <v/>
      </c>
    </row>
    <row r="2720">
      <c r="A2720" s="0" t="s">
        <v>6282</v>
      </c>
      <c r="B2720" s="0" t="s">
        <v>6283</v>
      </c>
      <c r="C2720" s="0" t="s">
        <v>1212</v>
      </c>
      <c r="D2720" s="0">
        <f dt2D="0" dtr="0">HYPERLINK("https://www.icra.in/Rating/RatingDetails?CompanyId=0&amp;CompanyName=Venkata Naga Lakshmi Paper Mills Private Limited", "Rationale")</f>
        <v/>
      </c>
    </row>
    <row r="2721">
      <c r="A2721" s="0" t="s">
        <v>6284</v>
      </c>
      <c r="B2721" s="0" t="s">
        <v>6285</v>
      </c>
      <c r="C2721" s="0" t="s">
        <v>2685</v>
      </c>
      <c r="D2721" s="0">
        <f dt2D="0" dtr="0">HYPERLINK("https://www.icra.in/Rating/RatingDetails?CompanyId=0&amp;CompanyName=Venkata Sai Agro Industries", "Rationale")</f>
        <v/>
      </c>
    </row>
    <row r="2722">
      <c r="A2722" s="0" t="s">
        <v>6286</v>
      </c>
      <c r="B2722" s="0" t="s">
        <v>6287</v>
      </c>
      <c r="C2722" s="0" t="s">
        <v>71</v>
      </c>
      <c r="D2722" s="0">
        <f dt2D="0" dtr="0">HYPERLINK("https://www.icra.in/Rating/RatingDetails?CompanyId=0&amp;CompanyName=Venky Hi Tech Ispat Ltd", "Rationale")</f>
        <v/>
      </c>
    </row>
    <row r="2723">
      <c r="A2723" s="0" t="s">
        <v>6288</v>
      </c>
      <c r="B2723" s="0" t="s">
        <v>6289</v>
      </c>
      <c r="C2723" s="0" t="s">
        <v>71</v>
      </c>
      <c r="D2723" s="0">
        <f dt2D="0" dtr="0">HYPERLINK("https://www.icra.in/Rating/RatingDetails?CompanyId=0&amp;CompanyName=Venson Electric Pvt Ltd", "Rationale")</f>
        <v/>
      </c>
    </row>
    <row r="2724">
      <c r="A2724" s="0" t="s">
        <v>6290</v>
      </c>
      <c r="B2724" s="0" t="s">
        <v>6291</v>
      </c>
      <c r="C2724" s="0" t="s">
        <v>141</v>
      </c>
      <c r="D2724" s="0">
        <f dt2D="0" dtr="0">HYPERLINK("https://www.icra.in/Rating/RatingDetails?CompanyId=0&amp;CompanyName=Venu Industries", "Rationale")</f>
        <v/>
      </c>
    </row>
    <row r="2725">
      <c r="A2725" s="0" t="s">
        <v>6292</v>
      </c>
      <c r="B2725" s="0" t="s">
        <v>6293</v>
      </c>
      <c r="C2725" s="0" t="s">
        <v>430</v>
      </c>
      <c r="D2725" s="0">
        <f dt2D="0" dtr="0">HYPERLINK("https://www.icra.in/Rating/RatingDetails?CompanyId=0&amp;CompanyName=Vera India Limited", "Rationale")</f>
        <v/>
      </c>
    </row>
    <row r="2726">
      <c r="A2726" s="0" t="s">
        <v>6294</v>
      </c>
      <c r="B2726" s="0" t="s">
        <v>6295</v>
      </c>
      <c r="C2726" s="0" t="s">
        <v>9</v>
      </c>
      <c r="D2726" s="0">
        <f dt2D="0" dtr="0">HYPERLINK("https://www.icra.in/Rating/RatingDetails?CompanyId=0&amp;CompanyName=Verma Tractors", "Rationale")</f>
        <v/>
      </c>
    </row>
    <row r="2727">
      <c r="A2727" s="0" t="s">
        <v>6296</v>
      </c>
      <c r="B2727" s="0" t="s">
        <v>6297</v>
      </c>
      <c r="C2727" s="0" t="s">
        <v>6298</v>
      </c>
      <c r="D2727" s="0">
        <f dt2D="0" dtr="0">HYPERLINK("https://www.icra.in/Rating/RatingDetails?CompanyId=0&amp;CompanyName=Versa Drives Private Limited", "Rationale")</f>
        <v/>
      </c>
    </row>
    <row r="2728">
      <c r="A2728" s="0" t="s">
        <v>6299</v>
      </c>
      <c r="B2728" s="0" t="s">
        <v>6300</v>
      </c>
      <c r="C2728" s="0" t="s">
        <v>141</v>
      </c>
      <c r="D2728" s="0">
        <f dt2D="0" dtr="0">HYPERLINK("https://www.icra.in/Rating/RatingDetails?CompanyId=0&amp;CompanyName=Vertex Techno Solutions Bangalore Pvt. Ltd.", "Rationale")</f>
        <v/>
      </c>
    </row>
    <row r="2729">
      <c r="A2729" s="0" t="s">
        <v>6301</v>
      </c>
      <c r="B2729" s="0" t="s">
        <v>6302</v>
      </c>
      <c r="C2729" s="0" t="s">
        <v>744</v>
      </c>
      <c r="D2729" s="0">
        <f dt2D="0" dtr="0">HYPERLINK("https://www.icra.in/Rating/RatingDetails?CompanyId=0&amp;CompanyName=Vibracoustic India Private Limited", "Rationale")</f>
        <v/>
      </c>
    </row>
    <row r="2730">
      <c r="A2730" s="0" t="s">
        <v>6303</v>
      </c>
      <c r="B2730" s="0" t="s">
        <v>6304</v>
      </c>
      <c r="C2730" s="0" t="s">
        <v>1212</v>
      </c>
      <c r="D2730" s="0">
        <f dt2D="0" dtr="0">HYPERLINK("https://www.icra.in/Rating/RatingDetails?CompanyId=0&amp;CompanyName=Vibrant Processors Private Limited", "Rationale")</f>
        <v/>
      </c>
    </row>
    <row r="2731">
      <c r="A2731" s="0" t="s">
        <v>6305</v>
      </c>
      <c r="B2731" s="0" t="s">
        <v>6306</v>
      </c>
      <c r="C2731" s="0" t="s">
        <v>1756</v>
      </c>
      <c r="D2731" s="0">
        <f dt2D="0" dtr="0">HYPERLINK("https://www.icra.in/Rating/RatingDetails?CompanyId=0&amp;CompanyName=Vichitra Constructions Private Limited", "Rationale")</f>
        <v/>
      </c>
    </row>
    <row r="2732">
      <c r="A2732" s="0" t="s">
        <v>6307</v>
      </c>
      <c r="B2732" s="0" t="s">
        <v>6308</v>
      </c>
      <c r="C2732" s="0" t="s">
        <v>3915</v>
      </c>
      <c r="D2732" s="0">
        <f dt2D="0" dtr="0">HYPERLINK("https://www.icra.in/Rating/RatingDetails?CompanyId=0&amp;CompanyName=Vichitra Prestressed Concrete Udyog (P) Ltd.", "Rationale")</f>
        <v/>
      </c>
    </row>
    <row r="2733">
      <c r="A2733" s="0" t="s">
        <v>6309</v>
      </c>
      <c r="B2733" s="0" t="s">
        <v>6310</v>
      </c>
      <c r="C2733" s="0" t="s">
        <v>71</v>
      </c>
      <c r="D2733" s="0">
        <f dt2D="0" dtr="0">HYPERLINK("https://www.icra.in/Rating/RatingDetails?CompanyId=0&amp;CompanyName=Vicky Fashion Limited", "Rationale")</f>
        <v/>
      </c>
    </row>
    <row r="2734">
      <c r="A2734" s="0" t="s">
        <v>6311</v>
      </c>
      <c r="B2734" s="0" t="s">
        <v>6312</v>
      </c>
      <c r="C2734" s="0" t="s">
        <v>1437</v>
      </c>
      <c r="D2734" s="0">
        <f dt2D="0" dtr="0">HYPERLINK("https://www.icra.in/Rating/RatingDetails?CompanyId=0&amp;CompanyName=Vicon Ceramic Private Limited", "Rationale")</f>
        <v/>
      </c>
    </row>
    <row r="2735">
      <c r="A2735" s="0" t="s">
        <v>6313</v>
      </c>
      <c r="B2735" s="0" t="s">
        <v>6314</v>
      </c>
      <c r="C2735" s="0" t="s">
        <v>1017</v>
      </c>
      <c r="D2735" s="0">
        <f dt2D="0" dtr="0">HYPERLINK("https://www.icra.in/Rating/RatingDetails?CompanyId=0&amp;CompanyName=Victoria Foods Pvt Ltd", "Rationale")</f>
        <v/>
      </c>
    </row>
    <row r="2736">
      <c r="A2736" s="0" t="s">
        <v>6315</v>
      </c>
      <c r="B2736" s="0" t="s">
        <v>6316</v>
      </c>
      <c r="C2736" s="0" t="s">
        <v>18</v>
      </c>
      <c r="D2736" s="0">
        <f dt2D="0" dtr="0">HYPERLINK("https://www.icra.in/Rating/RatingDetails?CompanyId=0&amp;CompanyName=Vidarbha Industries Power Limited", "Rationale")</f>
        <v/>
      </c>
    </row>
    <row r="2737">
      <c r="A2737" s="0" t="s">
        <v>6317</v>
      </c>
      <c r="B2737" s="0" t="s">
        <v>6318</v>
      </c>
      <c r="C2737" s="0" t="s">
        <v>6319</v>
      </c>
      <c r="D2737" s="0">
        <f dt2D="0" dtr="0">HYPERLINK("https://www.icra.in/Rating/RatingDetails?CompanyId=0&amp;CompanyName=Vidya Polymer Private Limited", "Rationale")</f>
        <v/>
      </c>
    </row>
    <row r="2738">
      <c r="A2738" s="0" t="s">
        <v>6320</v>
      </c>
      <c r="B2738" s="0" t="s">
        <v>6321</v>
      </c>
      <c r="C2738" s="0" t="s">
        <v>2359</v>
      </c>
      <c r="D2738" s="0">
        <f dt2D="0" dtr="0">HYPERLINK("https://www.icra.in/Rating/RatingDetails?CompanyId=0&amp;CompanyName=Vidya Prasarini Sabha", "Rationale")</f>
        <v/>
      </c>
    </row>
    <row r="2739">
      <c r="A2739" s="0" t="s">
        <v>6322</v>
      </c>
      <c r="B2739" s="0" t="s">
        <v>6323</v>
      </c>
      <c r="C2739" s="0" t="s">
        <v>71</v>
      </c>
      <c r="D2739" s="0">
        <f dt2D="0" dtr="0">HYPERLINK("https://www.icra.in/Rating/RatingDetails?CompanyId=0&amp;CompanyName=Vidya Sanskaar Educational and Charitable Trust", "Rationale")</f>
        <v/>
      </c>
    </row>
    <row r="2740">
      <c r="A2740" s="0" t="s">
        <v>6324</v>
      </c>
      <c r="B2740" s="0" t="s">
        <v>6325</v>
      </c>
      <c r="C2740" s="0" t="s">
        <v>5356</v>
      </c>
      <c r="D2740" s="0">
        <f dt2D="0" dtr="0">HYPERLINK("https://www.icra.in/Rating/RatingDetails?CompanyId=0&amp;CompanyName=Vihaan Boards Private Limited", "Rationale")</f>
        <v/>
      </c>
    </row>
    <row r="2741">
      <c r="A2741" s="0" t="s">
        <v>6326</v>
      </c>
      <c r="B2741" s="0" t="s">
        <v>6327</v>
      </c>
      <c r="C2741" s="0" t="s">
        <v>220</v>
      </c>
      <c r="D2741" s="0">
        <f dt2D="0" dtr="0">HYPERLINK("https://www.icra.in/Rating/RatingDetails?CompanyId=0&amp;CompanyName=Vijai Marine Services", "Rationale")</f>
        <v/>
      </c>
    </row>
    <row r="2742">
      <c r="A2742" s="0" t="s">
        <v>6328</v>
      </c>
      <c r="B2742" s="0" t="s">
        <v>6329</v>
      </c>
      <c r="C2742" s="0" t="s">
        <v>18</v>
      </c>
      <c r="D2742" s="0">
        <f dt2D="0" dtr="0">HYPERLINK("https://www.icra.in/Rating/RatingDetails?CompanyId=0&amp;CompanyName=Vijay Builders &amp; Constructions Private Limited", "Rationale")</f>
        <v/>
      </c>
    </row>
    <row r="2743">
      <c r="A2743" s="0" t="s">
        <v>6330</v>
      </c>
      <c r="B2743" s="0" t="s">
        <v>6331</v>
      </c>
      <c r="C2743" s="0" t="s">
        <v>278</v>
      </c>
      <c r="D2743" s="0">
        <f dt2D="0" dtr="0">HYPERLINK("https://www.icra.in/Rating/RatingDetails?CompanyId=0&amp;CompanyName=Vijay Engineering Equipment india Pvt.Ltd", "Rationale")</f>
        <v/>
      </c>
    </row>
    <row r="2744">
      <c r="A2744" s="0" t="s">
        <v>6332</v>
      </c>
      <c r="B2744" s="0" t="s">
        <v>6333</v>
      </c>
      <c r="C2744" s="0" t="s">
        <v>2155</v>
      </c>
      <c r="D2744" s="0">
        <f dt2D="0" dtr="0">HYPERLINK("https://www.icra.in/Rating/RatingDetails?CompanyId=0&amp;CompanyName=Vijay Industries", "Rationale")</f>
        <v/>
      </c>
    </row>
    <row r="2745">
      <c r="A2745" s="0" t="s">
        <v>6334</v>
      </c>
      <c r="B2745" s="0" t="s">
        <v>6335</v>
      </c>
      <c r="C2745" s="0" t="s">
        <v>6336</v>
      </c>
      <c r="D2745" s="0">
        <f dt2D="0" dtr="0">HYPERLINK("https://www.icra.in/Rating/RatingDetails?CompanyId=0&amp;CompanyName=Vijay Pulse Pvt. Ltd.", "Rationale")</f>
        <v/>
      </c>
    </row>
    <row r="2746">
      <c r="A2746" s="0" t="s">
        <v>6337</v>
      </c>
      <c r="B2746" s="0" t="s">
        <v>6338</v>
      </c>
      <c r="C2746" s="0" t="s">
        <v>891</v>
      </c>
      <c r="D2746" s="0">
        <f dt2D="0" dtr="0">HYPERLINK("https://www.icra.in/Rating/RatingDetails?CompanyId=0&amp;CompanyName=Vijay Trading Company", "Rationale")</f>
        <v/>
      </c>
    </row>
    <row r="2747">
      <c r="A2747" s="0" t="s">
        <v>6339</v>
      </c>
      <c r="B2747" s="0" t="s">
        <v>6340</v>
      </c>
      <c r="C2747" s="0" t="s">
        <v>71</v>
      </c>
      <c r="D2747" s="0">
        <f dt2D="0" dtr="0">HYPERLINK("https://www.icra.in/Rating/RatingDetails?CompanyId=0&amp;CompanyName=Vijay Transformers", "Rationale")</f>
        <v/>
      </c>
    </row>
    <row r="2748">
      <c r="A2748" s="0" t="s">
        <v>6341</v>
      </c>
      <c r="B2748" s="0" t="s">
        <v>6342</v>
      </c>
      <c r="C2748" s="0" t="s">
        <v>439</v>
      </c>
      <c r="D2748" s="0">
        <f dt2D="0" dtr="0">HYPERLINK("https://www.icra.in/Rating/RatingDetails?CompanyId=0&amp;CompanyName=Vijaya Raja Rajeswari Constructions Private Limited", "Rationale")</f>
        <v/>
      </c>
    </row>
    <row r="2749">
      <c r="A2749" s="0" t="s">
        <v>6343</v>
      </c>
      <c r="B2749" s="0" t="s">
        <v>6344</v>
      </c>
      <c r="C2749" s="0" t="s">
        <v>6345</v>
      </c>
      <c r="D2749" s="0">
        <f dt2D="0" dtr="0">HYPERLINK("https://www.icra.in/Rating/RatingDetails?CompanyId=0&amp;CompanyName=Vijayawada Municipal Corporation", "Rationale")</f>
        <v/>
      </c>
    </row>
    <row r="2750">
      <c r="A2750" s="0" t="s">
        <v>6346</v>
      </c>
      <c r="B2750" s="0" t="s">
        <v>6347</v>
      </c>
      <c r="C2750" s="0" t="s">
        <v>522</v>
      </c>
      <c r="D2750" s="0">
        <f dt2D="0" dtr="0">HYPERLINK("https://www.icra.in/Rating/RatingDetails?CompanyId=0&amp;CompanyName=Vijayshree Electromech Private Limited", "Rationale")</f>
        <v/>
      </c>
    </row>
    <row r="2751">
      <c r="A2751" s="0" t="s">
        <v>6348</v>
      </c>
      <c r="B2751" s="0" t="s">
        <v>6349</v>
      </c>
      <c r="C2751" s="0" t="s">
        <v>1497</v>
      </c>
      <c r="D2751" s="0">
        <f dt2D="0" dtr="0">HYPERLINK("https://www.icra.in/Rating/RatingDetails?CompanyId=0&amp;CompanyName=Vijeta Projects &amp; Infrastructures Ltd.", "Rationale")</f>
        <v/>
      </c>
    </row>
    <row r="2752">
      <c r="A2752" s="0" t="s">
        <v>6350</v>
      </c>
      <c r="B2752" s="0" t="s">
        <v>6351</v>
      </c>
      <c r="C2752" s="0" t="s">
        <v>4158</v>
      </c>
      <c r="D2752" s="0">
        <f dt2D="0" dtr="0">HYPERLINK("https://www.icra.in/Rating/RatingDetails?CompanyId=0&amp;CompanyName=Vikas Cot Fiber Private Limited", "Rationale")</f>
        <v/>
      </c>
    </row>
    <row r="2753">
      <c r="A2753" s="0" t="s">
        <v>6352</v>
      </c>
      <c r="B2753" s="0" t="s">
        <v>6353</v>
      </c>
      <c r="C2753" s="0" t="s">
        <v>2088</v>
      </c>
      <c r="D2753" s="0">
        <f dt2D="0" dtr="0">HYPERLINK("https://www.icra.in/Rating/RatingDetails?CompanyId=0&amp;CompanyName=Vikas Cotex", "Rationale")</f>
        <v/>
      </c>
    </row>
    <row r="2754">
      <c r="A2754" s="0" t="s">
        <v>6354</v>
      </c>
      <c r="B2754" s="0" t="s">
        <v>6355</v>
      </c>
      <c r="C2754" s="0" t="s">
        <v>6356</v>
      </c>
      <c r="D2754" s="0">
        <f dt2D="0" dtr="0">HYPERLINK("https://www.icra.in/Rating/RatingDetails?CompanyId=0&amp;CompanyName=Vikas Cotton Ginning &amp; Pressing", "Rationale")</f>
        <v/>
      </c>
    </row>
    <row r="2755">
      <c r="A2755" s="0" t="s">
        <v>6357</v>
      </c>
      <c r="B2755" s="0" t="s">
        <v>6358</v>
      </c>
      <c r="C2755" s="0" t="s">
        <v>6</v>
      </c>
      <c r="D2755" s="0">
        <f dt2D="0" dtr="0">HYPERLINK("https://www.icra.in/Rating/RatingDetails?CompanyId=0&amp;CompanyName=Vikas Filaments Private Limited", "Rationale")</f>
        <v/>
      </c>
    </row>
    <row r="2756">
      <c r="A2756" s="0" t="s">
        <v>6359</v>
      </c>
      <c r="B2756" s="0" t="s">
        <v>6360</v>
      </c>
      <c r="C2756" s="0" t="s">
        <v>1335</v>
      </c>
      <c r="D2756" s="0">
        <f dt2D="0" dtr="0">HYPERLINK("https://www.icra.in/Rating/RatingDetails?CompanyId=0&amp;CompanyName=Vikas Gems", "Rationale")</f>
        <v/>
      </c>
    </row>
    <row r="2757">
      <c r="A2757" s="0" t="s">
        <v>6361</v>
      </c>
      <c r="B2757" s="0" t="s">
        <v>6362</v>
      </c>
      <c r="C2757" s="0" t="s">
        <v>1090</v>
      </c>
      <c r="D2757" s="0">
        <f dt2D="0" dtr="0">HYPERLINK("https://www.icra.in/Rating/RatingDetails?CompanyId=0&amp;CompanyName=Vikas Krishi Seva Kendra", "Rationale")</f>
        <v/>
      </c>
    </row>
    <row r="2758">
      <c r="A2758" s="0" t="s">
        <v>6363</v>
      </c>
      <c r="B2758" s="0" t="s">
        <v>6364</v>
      </c>
      <c r="C2758" s="0" t="s">
        <v>5398</v>
      </c>
      <c r="D2758" s="0">
        <f dt2D="0" dtr="0">HYPERLINK("https://www.icra.in/Rating/RatingDetails?CompanyId=0&amp;CompanyName=Villupuram District Co-Operative Milk Producers Union Limited", "Rationale")</f>
        <v/>
      </c>
    </row>
    <row r="2759">
      <c r="A2759" s="0" t="s">
        <v>6365</v>
      </c>
      <c r="B2759" s="0" t="s">
        <v>6366</v>
      </c>
      <c r="C2759" s="0" t="s">
        <v>1314</v>
      </c>
      <c r="D2759" s="0">
        <f dt2D="0" dtr="0">HYPERLINK("https://www.icra.in/Rating/RatingDetails?CompanyId=0&amp;CompanyName=Vimal Oil and Foods Limited", "Rationale")</f>
        <v/>
      </c>
    </row>
    <row r="2760">
      <c r="A2760" s="0" t="s">
        <v>6367</v>
      </c>
      <c r="B2760" s="0" t="s">
        <v>6368</v>
      </c>
      <c r="C2760" s="0" t="s">
        <v>3648</v>
      </c>
      <c r="D2760" s="0">
        <f dt2D="0" dtr="0">HYPERLINK("https://www.icra.in/Rating/RatingDetails?CompanyId=0&amp;CompanyName=Vimalscop Product", "Rationale")</f>
        <v/>
      </c>
    </row>
    <row r="2761">
      <c r="A2761" s="0" t="s">
        <v>6369</v>
      </c>
      <c r="B2761" s="0" t="s">
        <v>6370</v>
      </c>
      <c r="C2761" s="0" t="s">
        <v>2359</v>
      </c>
      <c r="D2761" s="0">
        <f dt2D="0" dtr="0">HYPERLINK("https://www.icra.in/Rating/RatingDetails?CompanyId=0&amp;CompanyName=Vinar Ispat Limited", "Rationale")</f>
        <v/>
      </c>
    </row>
    <row r="2762">
      <c r="A2762" s="0" t="s">
        <v>6371</v>
      </c>
      <c r="B2762" s="0" t="s">
        <v>6372</v>
      </c>
      <c r="C2762" s="0" t="s">
        <v>1363</v>
      </c>
      <c r="D2762" s="0">
        <f dt2D="0" dtr="0">HYPERLINK("https://www.icra.in/Rating/RatingDetails?CompanyId=0&amp;CompanyName=Vinayak Cottex", "Rationale")</f>
        <v/>
      </c>
    </row>
    <row r="2763">
      <c r="A2763" s="0" t="s">
        <v>6373</v>
      </c>
      <c r="B2763" s="0" t="s">
        <v>6374</v>
      </c>
      <c r="C2763" s="0" t="s">
        <v>338</v>
      </c>
      <c r="D2763" s="0">
        <f dt2D="0" dtr="0">HYPERLINK("https://www.icra.in/Rating/RatingDetails?CompanyId=0&amp;CompanyName=Vinayak Diamond Tools", "Rationale")</f>
        <v/>
      </c>
    </row>
    <row r="2764">
      <c r="A2764" s="0" t="s">
        <v>6375</v>
      </c>
      <c r="B2764" s="0" t="s">
        <v>6376</v>
      </c>
      <c r="C2764" s="0" t="s">
        <v>6377</v>
      </c>
      <c r="D2764" s="0">
        <f dt2D="0" dtr="0">HYPERLINK("https://www.icra.in/Rating/RatingDetails?CompanyId=0&amp;CompanyName=Vinayak International", "Rationale")</f>
        <v/>
      </c>
    </row>
    <row r="2765">
      <c r="A2765" s="0" t="s">
        <v>6378</v>
      </c>
      <c r="B2765" s="0" t="s">
        <v>6379</v>
      </c>
      <c r="C2765" s="0" t="s">
        <v>4010</v>
      </c>
      <c r="D2765" s="0">
        <f dt2D="0" dtr="0">HYPERLINK("https://www.icra.in/Rating/RatingDetails?CompanyId=0&amp;CompanyName=Vipul Industries Private Limited", "Rationale")</f>
        <v/>
      </c>
    </row>
    <row r="2766">
      <c r="A2766" s="0" t="s">
        <v>6380</v>
      </c>
      <c r="B2766" s="0" t="s">
        <v>6381</v>
      </c>
      <c r="C2766" s="0" t="s">
        <v>71</v>
      </c>
      <c r="D2766" s="0">
        <f dt2D="0" dtr="0">HYPERLINK("https://www.icra.in/Rating/RatingDetails?CompanyId=0&amp;CompanyName=Vir Electro Engineering Private Limited", "Rationale")</f>
        <v/>
      </c>
    </row>
    <row r="2767">
      <c r="A2767" s="0" t="s">
        <v>6382</v>
      </c>
      <c r="B2767" s="0" t="s">
        <v>6383</v>
      </c>
      <c r="C2767" s="0" t="s">
        <v>1674</v>
      </c>
      <c r="D2767" s="0">
        <f dt2D="0" dtr="0">HYPERLINK("https://www.icra.in/Rating/RatingDetails?CompanyId=0&amp;CompanyName=Virendra Kumar Singh", "Rationale")</f>
        <v/>
      </c>
    </row>
    <row r="2768">
      <c r="A2768" s="0" t="s">
        <v>6384</v>
      </c>
      <c r="B2768" s="0" t="s">
        <v>6385</v>
      </c>
      <c r="C2768" s="0" t="s">
        <v>918</v>
      </c>
      <c r="D2768" s="0">
        <f dt2D="0" dtr="0">HYPERLINK("https://www.icra.in/Rating/RatingDetails?CompanyId=0&amp;CompanyName=Virgin Rock Private Limited", "Rationale")</f>
        <v/>
      </c>
    </row>
    <row r="2769">
      <c r="A2769" s="0" t="s">
        <v>6386</v>
      </c>
      <c r="B2769" s="0" t="s">
        <v>6387</v>
      </c>
      <c r="C2769" s="0" t="s">
        <v>6345</v>
      </c>
      <c r="D2769" s="0">
        <f dt2D="0" dtr="0">HYPERLINK("https://www.icra.in/Rating/RatingDetails?CompanyId=0&amp;CompanyName=Visakhapatnam Port Logistics Park Ltd", "Rationale")</f>
        <v/>
      </c>
    </row>
    <row r="2770">
      <c r="A2770" s="0" t="s">
        <v>6388</v>
      </c>
      <c r="B2770" s="0" t="s">
        <v>6389</v>
      </c>
      <c r="C2770" s="0" t="s">
        <v>103</v>
      </c>
      <c r="D2770" s="0">
        <f dt2D="0" dtr="0">HYPERLINK("https://www.icra.in/Rating/RatingDetails?CompanyId=0&amp;CompanyName=Vishnushiva Infrastructures", "Rationale")</f>
        <v/>
      </c>
    </row>
    <row r="2771">
      <c r="A2771" s="0" t="s">
        <v>6390</v>
      </c>
      <c r="B2771" s="0" t="s">
        <v>6391</v>
      </c>
      <c r="C2771" s="0" t="s">
        <v>71</v>
      </c>
      <c r="D2771" s="0">
        <f dt2D="0" dtr="0">HYPERLINK("https://www.icra.in/Rating/RatingDetails?CompanyId=0&amp;CompanyName=Vishwasrao Naik Sahakari Sakhar Karkhana Ltd", "Rationale")</f>
        <v/>
      </c>
    </row>
    <row r="2772">
      <c r="A2772" s="0" t="s">
        <v>6392</v>
      </c>
      <c r="B2772" s="0" t="s">
        <v>6393</v>
      </c>
      <c r="C2772" s="0" t="s">
        <v>6394</v>
      </c>
      <c r="D2772" s="0">
        <f dt2D="0" dtr="0">HYPERLINK("https://www.icra.in/Rating/RatingDetails?CompanyId=0&amp;CompanyName=Visura (India) Limited", "Rationale")</f>
        <v/>
      </c>
    </row>
    <row r="2773">
      <c r="A2773" s="0" t="s">
        <v>6395</v>
      </c>
      <c r="B2773" s="0" t="s">
        <v>6396</v>
      </c>
      <c r="C2773" s="0" t="s">
        <v>4426</v>
      </c>
      <c r="D2773" s="0">
        <f dt2D="0" dtr="0">HYPERLINK("https://www.icra.in/Rating/RatingDetails?CompanyId=0&amp;CompanyName=Viviana Vitrified Private Limited", "Rationale")</f>
        <v/>
      </c>
    </row>
    <row r="2774">
      <c r="A2774" s="0" t="s">
        <v>6397</v>
      </c>
      <c r="B2774" s="0" t="s">
        <v>6398</v>
      </c>
      <c r="C2774" s="0" t="s">
        <v>2255</v>
      </c>
      <c r="D2774" s="0">
        <f dt2D="0" dtr="0">HYPERLINK("https://www.icra.in/Rating/RatingDetails?CompanyId=0&amp;CompanyName=Viyyat Power Private Limited", "Rationale")</f>
        <v/>
      </c>
    </row>
    <row r="2775">
      <c r="A2775" s="0" t="s">
        <v>6399</v>
      </c>
      <c r="B2775" s="0" t="s">
        <v>6400</v>
      </c>
      <c r="C2775" s="0" t="s">
        <v>346</v>
      </c>
      <c r="D2775" s="0">
        <f dt2D="0" dtr="0">HYPERLINK("https://www.icra.in/Rating/RatingDetails?CompanyId=0&amp;CompanyName=Vizianagaram Municipality", "Rationale")</f>
        <v/>
      </c>
    </row>
    <row r="2776">
      <c r="A2776" s="0" t="s">
        <v>6401</v>
      </c>
      <c r="B2776" s="0" t="s">
        <v>6402</v>
      </c>
      <c r="C2776" s="0" t="s">
        <v>24</v>
      </c>
      <c r="D2776" s="0">
        <f dt2D="0" dtr="0">HYPERLINK("https://www.icra.in/Rating/RatingDetails?CompanyId=0&amp;CompanyName=Vogue Clothing Company", "Rationale")</f>
        <v/>
      </c>
    </row>
    <row r="2777">
      <c r="A2777" s="0" t="s">
        <v>6403</v>
      </c>
      <c r="B2777" s="0" t="s">
        <v>6404</v>
      </c>
      <c r="C2777" s="0" t="s">
        <v>6405</v>
      </c>
      <c r="D2777" s="0">
        <f dt2D="0" dtr="0">HYPERLINK("https://www.icra.in/Rating/RatingDetails?CompanyId=0&amp;CompanyName=Voltaic Power Private Limited", "Rationale")</f>
        <v/>
      </c>
    </row>
    <row r="2778">
      <c r="A2778" s="0" t="s">
        <v>6406</v>
      </c>
      <c r="B2778" s="0" t="s">
        <v>6407</v>
      </c>
      <c r="C2778" s="0" t="s">
        <v>6408</v>
      </c>
      <c r="D2778" s="0">
        <f dt2D="0" dtr="0">HYPERLINK("https://www.icra.in/Rating/RatingDetails?CompanyId=0&amp;CompanyName=Vs Ferrous Enterprises Private Limited", "Rationale")</f>
        <v/>
      </c>
    </row>
    <row r="2779">
      <c r="A2779" s="0" t="s">
        <v>6409</v>
      </c>
      <c r="B2779" s="0" t="s">
        <v>6410</v>
      </c>
      <c r="C2779" s="0" t="s">
        <v>197</v>
      </c>
      <c r="D2779" s="0">
        <f dt2D="0" dtr="0">HYPERLINK("https://www.icra.in/Rating/RatingDetails?CompanyId=0&amp;CompanyName=Vsp Enterprises Private Limited", "Rationale")</f>
        <v/>
      </c>
    </row>
    <row r="2780">
      <c r="A2780" s="0" t="s">
        <v>6411</v>
      </c>
      <c r="B2780" s="0" t="s">
        <v>6412</v>
      </c>
      <c r="C2780" s="0" t="s">
        <v>223</v>
      </c>
      <c r="D2780" s="0">
        <f dt2D="0" dtr="0">HYPERLINK("https://www.icra.in/Rating/RatingDetails?CompanyId=0&amp;CompanyName=VSRK Constructions", "Rationale")</f>
        <v/>
      </c>
    </row>
    <row r="2781">
      <c r="A2781" s="0" t="s">
        <v>6413</v>
      </c>
      <c r="B2781" s="0" t="s">
        <v>6414</v>
      </c>
      <c r="C2781" s="0" t="s">
        <v>6415</v>
      </c>
      <c r="D2781" s="0">
        <f dt2D="0" dtr="0">HYPERLINK("https://www.icra.in/Rating/RatingDetails?CompanyId=0&amp;CompanyName=VVC Motors Pvt. Ltd.", "Rationale")</f>
        <v/>
      </c>
    </row>
    <row r="2782">
      <c r="A2782" s="0" t="s">
        <v>6416</v>
      </c>
      <c r="B2782" s="0" t="s">
        <v>6417</v>
      </c>
      <c r="C2782" s="0" t="s">
        <v>430</v>
      </c>
      <c r="D2782" s="0">
        <f dt2D="0" dtr="0">HYPERLINK("https://www.icra.in/Rating/RatingDetails?CompanyId=0&amp;CompanyName=Wall Cera Tiles Pvt. Ltd.", "Rationale")</f>
        <v/>
      </c>
    </row>
    <row r="2783">
      <c r="A2783" s="0" t="s">
        <v>6418</v>
      </c>
      <c r="B2783" s="0" t="s">
        <v>6419</v>
      </c>
      <c r="C2783" s="0" t="s">
        <v>278</v>
      </c>
      <c r="D2783" s="0">
        <f dt2D="0" dtr="0">HYPERLINK("https://www.icra.in/Rating/RatingDetails?CompanyId=0&amp;CompanyName=Wallmark Ceramic Industry", "Rationale")</f>
        <v/>
      </c>
    </row>
    <row r="2784">
      <c r="A2784" s="0" t="s">
        <v>6420</v>
      </c>
      <c r="B2784" s="0" t="s">
        <v>6421</v>
      </c>
      <c r="C2784" s="0" t="s">
        <v>405</v>
      </c>
      <c r="D2784" s="0">
        <f dt2D="0" dtr="0">HYPERLINK("https://www.icra.in/Rating/RatingDetails?CompanyId=0&amp;CompanyName=Wanaparthy Municipality", "Rationale")</f>
        <v/>
      </c>
    </row>
    <row r="2785">
      <c r="A2785" s="0" t="s">
        <v>6422</v>
      </c>
      <c r="B2785" s="0" t="s">
        <v>6423</v>
      </c>
      <c r="C2785" s="0" t="s">
        <v>5186</v>
      </c>
      <c r="D2785" s="0">
        <f dt2D="0" dtr="0">HYPERLINK("https://www.icra.in/Rating/RatingDetails?CompanyId=0&amp;CompanyName=Wanderland Real Estates Pvt. Ltd.", "Rationale")</f>
        <v/>
      </c>
    </row>
    <row r="2786">
      <c r="A2786" s="0" t="s">
        <v>6424</v>
      </c>
      <c r="B2786" s="0" t="s">
        <v>6425</v>
      </c>
      <c r="C2786" s="0" t="s">
        <v>71</v>
      </c>
      <c r="D2786" s="0">
        <f dt2D="0" dtr="0">HYPERLINK("https://www.icra.in/Rating/RatingDetails?CompanyId=0&amp;CompanyName=Warade Pack Tech Private Limited", "Rationale")</f>
        <v/>
      </c>
    </row>
    <row r="2787">
      <c r="A2787" s="0" t="s">
        <v>6426</v>
      </c>
      <c r="B2787" s="0" t="s">
        <v>6427</v>
      </c>
      <c r="C2787" s="0" t="s">
        <v>608</v>
      </c>
      <c r="D2787" s="0">
        <f dt2D="0" dtr="0">HYPERLINK("https://www.icra.in/Rating/RatingDetails?CompanyId=0&amp;CompanyName=Waterline Hotels Private Limited", "Rationale")</f>
        <v/>
      </c>
    </row>
    <row r="2788">
      <c r="A2788" s="0" t="s">
        <v>6428</v>
      </c>
      <c r="B2788" s="0" t="s">
        <v>6429</v>
      </c>
      <c r="C2788" s="0" t="s">
        <v>9</v>
      </c>
      <c r="D2788" s="0">
        <f dt2D="0" dtr="0">HYPERLINK("https://www.icra.in/Rating/RatingDetails?CompanyId=0&amp;CompanyName=Wave Beverages Private Limited", "Rationale")</f>
        <v/>
      </c>
    </row>
    <row r="2789">
      <c r="A2789" s="0" t="s">
        <v>6430</v>
      </c>
      <c r="B2789" s="0" t="s">
        <v>6431</v>
      </c>
      <c r="C2789" s="0" t="s">
        <v>1116</v>
      </c>
      <c r="D2789" s="0">
        <f dt2D="0" dtr="0">HYPERLINK("https://www.icra.in/Rating/RatingDetails?CompanyId=0&amp;CompanyName=Wave Distilleries And Breweries Limited", "Rationale")</f>
        <v/>
      </c>
    </row>
    <row r="2790">
      <c r="A2790" s="0" t="s">
        <v>6432</v>
      </c>
      <c r="B2790" s="0" t="s">
        <v>6433</v>
      </c>
      <c r="C2790" s="0" t="s">
        <v>71</v>
      </c>
      <c r="D2790" s="0">
        <f dt2D="0" dtr="0">HYPERLINK("https://www.icra.in/Rating/RatingDetails?CompanyId=0&amp;CompanyName=Web Spiders (India) Pvt Ltd", "Rationale")</f>
        <v/>
      </c>
    </row>
    <row r="2791">
      <c r="A2791" s="0" t="s">
        <v>6434</v>
      </c>
      <c r="B2791" s="0" t="s">
        <v>6435</v>
      </c>
      <c r="C2791" s="0" t="s">
        <v>71</v>
      </c>
      <c r="D2791" s="0">
        <f dt2D="0" dtr="0">HYPERLINK("https://www.icra.in/Rating/RatingDetails?CompanyId=0&amp;CompanyName=Webfil Limited", "Rationale")</f>
        <v/>
      </c>
    </row>
    <row r="2792">
      <c r="A2792" s="0" t="s">
        <v>6436</v>
      </c>
      <c r="B2792" s="0" t="s">
        <v>6437</v>
      </c>
      <c r="C2792" s="0" t="s">
        <v>6231</v>
      </c>
      <c r="D2792" s="0">
        <f dt2D="0" dtr="0">HYPERLINK("https://www.icra.in/Rating/RatingDetails?CompanyId=0&amp;CompanyName=Weener Empire Plastics Private Limited", "Rationale")</f>
        <v/>
      </c>
    </row>
    <row r="2793">
      <c r="A2793" s="0" t="s">
        <v>6438</v>
      </c>
      <c r="B2793" s="0" t="s">
        <v>6439</v>
      </c>
      <c r="C2793" s="0" t="s">
        <v>71</v>
      </c>
      <c r="D2793" s="0">
        <f dt2D="0" dtr="0">HYPERLINK("https://www.icra.in/Rating/RatingDetails?CompanyId=0&amp;CompanyName=Welcome Distilleries Pvt. Ltd.", "Rationale")</f>
        <v/>
      </c>
    </row>
    <row r="2794">
      <c r="A2794" s="0" t="s">
        <v>6440</v>
      </c>
      <c r="B2794" s="0" t="s">
        <v>6441</v>
      </c>
      <c r="C2794" s="0" t="s">
        <v>1541</v>
      </c>
      <c r="D2794" s="0">
        <f dt2D="0" dtr="0">HYPERLINK("https://www.icra.in/Rating/RatingDetails?CompanyId=0&amp;CompanyName=Welcome Tiles Private Limited", "Rationale")</f>
        <v/>
      </c>
    </row>
    <row r="2795">
      <c r="A2795" s="0" t="s">
        <v>6442</v>
      </c>
      <c r="B2795" s="0" t="s">
        <v>6443</v>
      </c>
      <c r="C2795" s="0" t="s">
        <v>460</v>
      </c>
      <c r="D2795" s="0">
        <f dt2D="0" dtr="0">HYPERLINK("https://www.icra.in/Rating/RatingDetails?CompanyId=0&amp;CompanyName=West Coast Foods", "Rationale")</f>
        <v/>
      </c>
    </row>
    <row r="2796">
      <c r="A2796" s="0" t="s">
        <v>6444</v>
      </c>
      <c r="B2796" s="0" t="s">
        <v>6445</v>
      </c>
      <c r="C2796" s="0" t="s">
        <v>109</v>
      </c>
      <c r="D2796" s="0">
        <f dt2D="0" dtr="0">HYPERLINK("https://www.icra.in/Rating/RatingDetails?CompanyId=0&amp;CompanyName=Western Construction Co. (Gujarat) LLP", "Rationale")</f>
        <v/>
      </c>
    </row>
    <row r="2797">
      <c r="A2797" s="0" t="s">
        <v>6446</v>
      </c>
      <c r="B2797" s="0" t="s">
        <v>6447</v>
      </c>
      <c r="C2797" s="0" t="s">
        <v>343</v>
      </c>
      <c r="D2797" s="0">
        <f dt2D="0" dtr="0">HYPERLINK("https://www.icra.in/Rating/RatingDetails?CompanyId=0&amp;CompanyName=Western Hill Foods Ltd.", "Rationale")</f>
        <v/>
      </c>
    </row>
    <row r="2798">
      <c r="A2798" s="0" t="s">
        <v>6448</v>
      </c>
      <c r="B2798" s="0" t="s">
        <v>6449</v>
      </c>
      <c r="C2798" s="0" t="s">
        <v>71</v>
      </c>
      <c r="D2798" s="0">
        <f dt2D="0" dtr="0">HYPERLINK("https://www.icra.in/Rating/RatingDetails?CompanyId=0&amp;CompanyName=Wheel Flexible Packaging", "Rationale")</f>
        <v/>
      </c>
    </row>
    <row r="2799">
      <c r="A2799" s="0" t="s">
        <v>6450</v>
      </c>
      <c r="B2799" s="0" t="s">
        <v>6451</v>
      </c>
      <c r="C2799" s="0" t="s">
        <v>71</v>
      </c>
      <c r="D2799" s="0">
        <f dt2D="0" dtr="0">HYPERLINK("https://www.icra.in/Rating/RatingDetails?CompanyId=0&amp;CompanyName=Whitefield Spintex (India) Pvt. Ltd.", "Rationale")</f>
        <v/>
      </c>
    </row>
    <row r="2800">
      <c r="A2800" s="0" t="s">
        <v>6452</v>
      </c>
      <c r="B2800" s="0" t="s">
        <v>6453</v>
      </c>
      <c r="C2800" s="0" t="s">
        <v>180</v>
      </c>
      <c r="D2800" s="0">
        <f dt2D="0" dtr="0">HYPERLINK("https://www.icra.in/Rating/RatingDetails?CompanyId=0&amp;CompanyName=Windsor Industries Private Limited", "Rationale")</f>
        <v/>
      </c>
    </row>
    <row r="2801">
      <c r="A2801" s="0" t="s">
        <v>6454</v>
      </c>
      <c r="B2801" s="0" t="s">
        <v>6455</v>
      </c>
      <c r="C2801" s="0" t="s">
        <v>192</v>
      </c>
      <c r="D2801" s="0">
        <f dt2D="0" dtr="0">HYPERLINK("https://www.icra.in/Rating/RatingDetails?CompanyId=0&amp;CompanyName=Winfab Equipments Pvt. Ltd.", "Rationale")</f>
        <v/>
      </c>
    </row>
    <row r="2802">
      <c r="A2802" s="0" t="s">
        <v>6456</v>
      </c>
      <c r="B2802" s="0" t="s">
        <v>6457</v>
      </c>
      <c r="C2802" s="0" t="s">
        <v>1035</v>
      </c>
      <c r="D2802" s="0">
        <f dt2D="0" dtr="0">HYPERLINK("https://www.icra.in/Rating/RatingDetails?CompanyId=0&amp;CompanyName=Winner Nippon Electronics Ltd.", "Rationale")</f>
        <v/>
      </c>
    </row>
    <row r="2803">
      <c r="A2803" s="0" t="s">
        <v>6458</v>
      </c>
      <c r="B2803" s="0" t="s">
        <v>6459</v>
      </c>
      <c r="C2803" s="0" t="s">
        <v>511</v>
      </c>
      <c r="D2803" s="0">
        <f dt2D="0" dtr="0">HYPERLINK("https://www.icra.in/Rating/RatingDetails?CompanyId=0&amp;CompanyName=Wintop Vitrified Private Limited", "Rationale")</f>
        <v/>
      </c>
    </row>
    <row r="2804">
      <c r="A2804" s="0" t="s">
        <v>6460</v>
      </c>
      <c r="B2804" s="0" t="s">
        <v>6461</v>
      </c>
      <c r="C2804" s="0" t="s">
        <v>242</v>
      </c>
      <c r="D2804" s="0">
        <f dt2D="0" dtr="0">HYPERLINK("https://www.icra.in/Rating/RatingDetails?CompanyId=0&amp;CompanyName=Wires and Cables (India)", "Rationale")</f>
        <v/>
      </c>
    </row>
    <row r="2805">
      <c r="A2805" s="0" t="s">
        <v>6462</v>
      </c>
      <c r="B2805" s="0" t="s">
        <v>6463</v>
      </c>
      <c r="C2805" s="0" t="s">
        <v>3205</v>
      </c>
      <c r="D2805" s="0">
        <f dt2D="0" dtr="0">HYPERLINK("https://www.icra.in/Rating/RatingDetails?CompanyId=0&amp;CompanyName=Women's Next Loungeries Limited", "Rationale")</f>
        <v/>
      </c>
    </row>
    <row r="2806">
      <c r="A2806" s="0" t="s">
        <v>6464</v>
      </c>
      <c r="B2806" s="0" t="s">
        <v>6465</v>
      </c>
      <c r="C2806" s="0" t="s">
        <v>324</v>
      </c>
      <c r="D2806" s="0">
        <f dt2D="0" dtr="0">HYPERLINK("https://www.icra.in/Rating/RatingDetails?CompanyId=0&amp;CompanyName=Wonder Construction", "Rationale")</f>
        <v/>
      </c>
    </row>
    <row r="2807">
      <c r="A2807" s="0" t="s">
        <v>6466</v>
      </c>
      <c r="B2807" s="0" t="s">
        <v>6467</v>
      </c>
      <c r="C2807" s="0" t="s">
        <v>2180</v>
      </c>
      <c r="D2807" s="0">
        <f dt2D="0" dtr="0">HYPERLINK("https://www.icra.in/Rating/RatingDetails?CompanyId=0&amp;CompanyName=Wonder Signs", "Rationale")</f>
        <v/>
      </c>
    </row>
    <row r="2808">
      <c r="A2808" s="0" t="s">
        <v>6468</v>
      </c>
      <c r="B2808" s="0" t="s">
        <v>6469</v>
      </c>
      <c r="C2808" s="0" t="s">
        <v>1941</v>
      </c>
      <c r="D2808" s="0">
        <f dt2D="0" dtr="0">HYPERLINK("https://www.icra.in/Rating/RatingDetails?CompanyId=0&amp;CompanyName=Woodhill Infrastructure Limited", "Rationale")</f>
        <v/>
      </c>
    </row>
    <row r="2809">
      <c r="A2809" s="0" t="s">
        <v>6470</v>
      </c>
      <c r="B2809" s="0" t="s">
        <v>6471</v>
      </c>
      <c r="C2809" s="0" t="s">
        <v>265</v>
      </c>
      <c r="D2809" s="0">
        <f dt2D="0" dtr="0">HYPERLINK("https://www.icra.in/Rating/RatingDetails?CompanyId=0&amp;CompanyName=Woolways (India) Limited", "Rationale")</f>
        <v/>
      </c>
    </row>
    <row r="2810">
      <c r="A2810" s="0" t="s">
        <v>6472</v>
      </c>
      <c r="B2810" s="0" t="s">
        <v>6473</v>
      </c>
      <c r="C2810" s="0" t="s">
        <v>6474</v>
      </c>
      <c r="D2810" s="0">
        <f dt2D="0" dtr="0">HYPERLINK("https://www.icra.in/Rating/RatingDetails?CompanyId=0&amp;CompanyName=Xrbia Developers Limited", "Rationale")</f>
        <v/>
      </c>
    </row>
    <row r="2811">
      <c r="A2811" s="0" t="s">
        <v>6475</v>
      </c>
      <c r="B2811" s="0" t="s">
        <v>6476</v>
      </c>
      <c r="C2811" s="0" t="s">
        <v>180</v>
      </c>
      <c r="D2811" s="0">
        <f dt2D="0" dtr="0">HYPERLINK("https://www.icra.in/Rating/RatingDetails?CompanyId=0&amp;CompanyName=XS Real Properties Private Limited", "Rationale")</f>
        <v/>
      </c>
    </row>
    <row r="2812">
      <c r="A2812" s="0" t="s">
        <v>6477</v>
      </c>
      <c r="B2812" s="0" t="s">
        <v>6478</v>
      </c>
      <c r="C2812" s="0" t="s">
        <v>192</v>
      </c>
      <c r="D2812" s="0">
        <f dt2D="0" dtr="0">HYPERLINK("https://www.icra.in/Rating/RatingDetails?CompanyId=0&amp;CompanyName=Y.V.S Kumkumam Company", "Rationale")</f>
        <v/>
      </c>
    </row>
    <row r="2813">
      <c r="A2813" s="0" t="s">
        <v>6479</v>
      </c>
      <c r="B2813" s="0" t="s">
        <v>6480</v>
      </c>
      <c r="C2813" s="0" t="s">
        <v>192</v>
      </c>
      <c r="D2813" s="0">
        <f dt2D="0" dtr="0">HYPERLINK("https://www.icra.in/Rating/RatingDetails?CompanyId=0&amp;CompanyName=Y.V.S Spices And Co", "Rationale")</f>
        <v/>
      </c>
    </row>
    <row r="2814">
      <c r="A2814" s="0" t="s">
        <v>6481</v>
      </c>
      <c r="B2814" s="0" t="s">
        <v>6482</v>
      </c>
      <c r="C2814" s="0" t="s">
        <v>2255</v>
      </c>
      <c r="D2814" s="0">
        <f dt2D="0" dtr="0">HYPERLINK("https://www.icra.in/Rating/RatingDetails?CompanyId=0&amp;CompanyName=Yamuna Machine Works Ltd.", "Rationale")</f>
        <v/>
      </c>
    </row>
    <row r="2815">
      <c r="A2815" s="0" t="s">
        <v>6483</v>
      </c>
      <c r="B2815" s="0" t="s">
        <v>6484</v>
      </c>
      <c r="C2815" s="0" t="s">
        <v>5725</v>
      </c>
      <c r="D2815" s="0">
        <f dt2D="0" dtr="0">HYPERLINK("https://www.icra.in/Rating/RatingDetails?CompanyId=0&amp;CompanyName=Yash Exports (India) Private Limited", "Rationale")</f>
        <v/>
      </c>
    </row>
    <row r="2816">
      <c r="A2816" s="0" t="s">
        <v>6485</v>
      </c>
      <c r="B2816" s="0" t="s">
        <v>6486</v>
      </c>
      <c r="C2816" s="0" t="s">
        <v>1014</v>
      </c>
      <c r="D2816" s="0">
        <f dt2D="0" dtr="0">HYPERLINK("https://www.icra.in/Rating/RatingDetails?CompanyId=0&amp;CompanyName=Yash Pal &amp; Sons (HUF)", "Rationale")</f>
        <v/>
      </c>
    </row>
    <row r="2817">
      <c r="A2817" s="0" t="s">
        <v>6487</v>
      </c>
      <c r="B2817" s="0" t="s">
        <v>6488</v>
      </c>
      <c r="C2817" s="0" t="s">
        <v>460</v>
      </c>
      <c r="D2817" s="0">
        <f dt2D="0" dtr="0">HYPERLINK("https://www.icra.in/Rating/RatingDetails?CompanyId=0&amp;CompanyName=Yashashree Tubes Private Limited", "Rationale")</f>
        <v/>
      </c>
    </row>
    <row r="2818">
      <c r="A2818" s="0" t="s">
        <v>6489</v>
      </c>
      <c r="B2818" s="0" t="s">
        <v>6490</v>
      </c>
      <c r="C2818" s="0" t="s">
        <v>3880</v>
      </c>
      <c r="D2818" s="0">
        <f dt2D="0" dtr="0">HYPERLINK("https://www.icra.in/Rating/RatingDetails?CompanyId=0&amp;CompanyName=Yashodha Motors Private Limited", "Rationale")</f>
        <v/>
      </c>
    </row>
    <row r="2819">
      <c r="A2819" s="0" t="s">
        <v>6491</v>
      </c>
      <c r="B2819" s="0" t="s">
        <v>6492</v>
      </c>
      <c r="C2819" s="0" t="s">
        <v>71</v>
      </c>
      <c r="D2819" s="0">
        <f dt2D="0" dtr="0">HYPERLINK("https://www.icra.in/Rating/RatingDetails?CompanyId=0&amp;CompanyName=Yashodhara Super Speciality Hospital Private Limited", "Rationale")</f>
        <v/>
      </c>
    </row>
    <row r="2820">
      <c r="A2820" s="0" t="s">
        <v>6493</v>
      </c>
      <c r="B2820" s="0" t="s">
        <v>6494</v>
      </c>
      <c r="C2820" s="0" t="s">
        <v>4005</v>
      </c>
      <c r="D2820" s="0">
        <f dt2D="0" dtr="0">HYPERLINK("https://www.icra.in/Rating/RatingDetails?CompanyId=0&amp;CompanyName=Yashveer Ceramic", "Rationale")</f>
        <v/>
      </c>
    </row>
    <row r="2821">
      <c r="A2821" s="0" t="s">
        <v>6495</v>
      </c>
      <c r="B2821" s="0" t="s">
        <v>6496</v>
      </c>
      <c r="C2821" s="0" t="s">
        <v>6</v>
      </c>
      <c r="D2821" s="0">
        <f dt2D="0" dtr="0">HYPERLINK("https://www.icra.in/Rating/RatingDetails?CompanyId=0&amp;CompanyName=Yedeshwari Agro Products Limited", "Rationale")</f>
        <v/>
      </c>
    </row>
    <row r="2822">
      <c r="A2822" s="0" t="s">
        <v>6497</v>
      </c>
      <c r="B2822" s="0" t="s">
        <v>6498</v>
      </c>
      <c r="C2822" s="0" t="s">
        <v>5725</v>
      </c>
      <c r="D2822" s="0">
        <f dt2D="0" dtr="0">HYPERLINK("https://www.icra.in/Rating/RatingDetails?CompanyId=0&amp;CompanyName=Yenepoya (Deemed to be University)", "Rationale")</f>
        <v/>
      </c>
    </row>
    <row r="2823">
      <c r="A2823" s="0" t="s">
        <v>6499</v>
      </c>
      <c r="B2823" s="0" t="s">
        <v>6500</v>
      </c>
      <c r="C2823" s="0" t="s">
        <v>1575</v>
      </c>
      <c r="D2823" s="0">
        <f dt2D="0" dtr="0">HYPERLINK("https://www.icra.in/Rating/RatingDetails?CompanyId=0&amp;CompanyName=Yenkey Roller Flour Mills", "Rationale")</f>
        <v/>
      </c>
    </row>
    <row r="2824">
      <c r="A2824" s="0" t="s">
        <v>6501</v>
      </c>
      <c r="B2824" s="0" t="s">
        <v>6502</v>
      </c>
      <c r="C2824" s="0" t="s">
        <v>6503</v>
      </c>
      <c r="D2824" s="0">
        <f dt2D="0" dtr="0">HYPERLINK("https://www.icra.in/Rating/RatingDetails?CompanyId=0&amp;CompanyName=Yogi Construction Co.", "Rationale")</f>
        <v/>
      </c>
    </row>
    <row r="2825">
      <c r="A2825" s="0" t="s">
        <v>6504</v>
      </c>
      <c r="B2825" s="0" t="s">
        <v>6505</v>
      </c>
      <c r="C2825" s="0" t="s">
        <v>6506</v>
      </c>
      <c r="D2825" s="0">
        <f dt2D="0" dtr="0">HYPERLINK("https://www.icra.in/Rating/RatingDetails?CompanyId=0&amp;CompanyName=Yogiji Digi Private Limited(Formerly Known as Digi Drives Private Limited)", "Rationale")</f>
        <v/>
      </c>
    </row>
    <row r="2826">
      <c r="A2826" s="0" t="s">
        <v>6507</v>
      </c>
      <c r="B2826" s="0" t="s">
        <v>6508</v>
      </c>
      <c r="C2826" s="0" t="s">
        <v>1917</v>
      </c>
      <c r="D2826" s="0">
        <f dt2D="0" dtr="0">HYPERLINK("https://www.icra.in/Rating/RatingDetails?CompanyId=0&amp;CompanyName=YR General Trading HK Limited", "Rationale")</f>
        <v/>
      </c>
    </row>
    <row r="2827">
      <c r="A2827" s="0" t="s">
        <v>6509</v>
      </c>
      <c r="B2827" s="0" t="s">
        <v>6510</v>
      </c>
      <c r="C2827" s="0" t="s">
        <v>1793</v>
      </c>
      <c r="D2827" s="0">
        <f dt2D="0" dtr="0">HYPERLINK("https://www.icra.in/Rating/RatingDetails?CompanyId=0&amp;CompanyName=Yusra Agro Foods Private Limited", "Rationale")</f>
        <v/>
      </c>
    </row>
    <row r="2828">
      <c r="A2828" s="0" t="s">
        <v>6511</v>
      </c>
      <c r="B2828" s="0" t="s">
        <v>6512</v>
      </c>
      <c r="C2828" s="0" t="s">
        <v>256</v>
      </c>
      <c r="D2828" s="0">
        <f dt2D="0" dtr="0">HYPERLINK("https://www.icra.in/Rating/RatingDetails?CompanyId=0&amp;CompanyName=Zadafiya Creations Pvt. Ltd.", "Rationale")</f>
        <v/>
      </c>
    </row>
    <row r="2829">
      <c r="A2829" s="0" t="s">
        <v>6513</v>
      </c>
      <c r="B2829" s="0" t="s">
        <v>6514</v>
      </c>
      <c r="C2829" s="0" t="s">
        <v>192</v>
      </c>
      <c r="D2829" s="0">
        <f dt2D="0" dtr="0">HYPERLINK("https://www.icra.in/Rating/RatingDetails?CompanyId=0&amp;CompanyName=Zandros Granito Llp", "Rationale")</f>
        <v/>
      </c>
    </row>
    <row r="2830">
      <c r="A2830" s="0" t="s">
        <v>6515</v>
      </c>
      <c r="B2830" s="0" t="s">
        <v>6516</v>
      </c>
      <c r="C2830" s="0" t="s">
        <v>439</v>
      </c>
      <c r="D2830" s="0">
        <f dt2D="0" dtr="0">HYPERLINK("https://www.icra.in/Rating/RatingDetails?CompanyId=0&amp;CompanyName=Zaveri Exports Private Limited", "Rationale")</f>
        <v/>
      </c>
    </row>
    <row r="2831">
      <c r="A2831" s="0" t="s">
        <v>6517</v>
      </c>
      <c r="B2831" s="0" t="s">
        <v>6518</v>
      </c>
      <c r="C2831" s="0" t="s">
        <v>6519</v>
      </c>
      <c r="D2831" s="0">
        <f dt2D="0" dtr="0">HYPERLINK("https://www.icra.in/Rating/RatingDetails?CompanyId=0&amp;CompanyName=Zeco Aircon Limited", "Rationale")</f>
        <v/>
      </c>
    </row>
    <row r="2832">
      <c r="A2832" s="0" t="s">
        <v>6520</v>
      </c>
      <c r="B2832" s="0" t="s">
        <v>6521</v>
      </c>
      <c r="C2832" s="0" t="s">
        <v>6522</v>
      </c>
      <c r="D2832" s="0">
        <f dt2D="0" dtr="0">HYPERLINK("https://www.icra.in/Rating/RatingDetails?CompanyId=0&amp;CompanyName=Zenica Cars India Private Limited", "Rationale")</f>
        <v/>
      </c>
    </row>
    <row r="2833">
      <c r="A2833" s="0" t="s">
        <v>6523</v>
      </c>
      <c r="B2833" s="0" t="s">
        <v>6524</v>
      </c>
      <c r="C2833" s="0" t="s">
        <v>6522</v>
      </c>
      <c r="D2833" s="0">
        <f dt2D="0" dtr="0">HYPERLINK("https://www.icra.in/Rating/RatingDetails?CompanyId=0&amp;CompanyName=Zenica Performance Cars Private Limited", "Rationale")</f>
        <v/>
      </c>
    </row>
    <row r="2834">
      <c r="A2834" s="0" t="s">
        <v>6525</v>
      </c>
      <c r="B2834" s="0" t="s">
        <v>6526</v>
      </c>
      <c r="C2834" s="0" t="s">
        <v>6527</v>
      </c>
      <c r="D2834" s="0">
        <f dt2D="0" dtr="0">HYPERLINK("https://www.icra.in/Rating/RatingDetails?CompanyId=0&amp;CompanyName=Zenith Exports Limited", "Rationale")</f>
        <v/>
      </c>
    </row>
    <row r="2835">
      <c r="A2835" s="0" t="s">
        <v>6528</v>
      </c>
      <c r="B2835" s="0" t="s">
        <v>6529</v>
      </c>
      <c r="C2835" s="0" t="s">
        <v>6530</v>
      </c>
      <c r="D2835" s="0">
        <f dt2D="0" dtr="0">HYPERLINK("https://www.icra.in/Rating/RatingDetails?CompanyId=0&amp;CompanyName=Zenith Precision Pvt Ltd", "Rationale")</f>
        <v/>
      </c>
    </row>
    <row r="2836">
      <c r="A2836" s="0" t="s">
        <v>6531</v>
      </c>
      <c r="B2836" s="0" t="s">
        <v>6532</v>
      </c>
      <c r="C2836" s="0" t="s">
        <v>6533</v>
      </c>
      <c r="D2836" s="0">
        <f dt2D="0" dtr="0">HYPERLINK("https://www.icra.in/Rating/RatingDetails?CompanyId=0&amp;CompanyName=Zenvision Pharma LLP", "Rationale")</f>
        <v/>
      </c>
    </row>
    <row r="2837">
      <c r="A2837" s="0" t="s">
        <v>6534</v>
      </c>
      <c r="B2837" s="0" t="s">
        <v>6535</v>
      </c>
      <c r="C2837" s="0" t="s">
        <v>6536</v>
      </c>
      <c r="D2837" s="0">
        <f dt2D="0" dtr="0">HYPERLINK("https://www.icra.in/Rating/RatingDetails?CompanyId=0&amp;CompanyName=Zeta Industrial Corporation Private Limited", "Rationale")</f>
        <v/>
      </c>
    </row>
    <row r="2838">
      <c r="A2838" s="0" t="s">
        <v>6537</v>
      </c>
      <c r="B2838" s="0" t="s">
        <v>6538</v>
      </c>
      <c r="C2838" s="0" t="s">
        <v>1131</v>
      </c>
      <c r="D2838" s="0">
        <f dt2D="0" dtr="0">HYPERLINK("https://www.icra.in/Rating/RatingDetails?CompanyId=0&amp;CompanyName=Zeta Microns Llp", "Rationale")</f>
        <v/>
      </c>
    </row>
    <row r="2839">
      <c r="A2839" s="0" t="s">
        <v>6539</v>
      </c>
      <c r="B2839" s="0" t="s">
        <v>6540</v>
      </c>
      <c r="C2839" s="0" t="s">
        <v>1604</v>
      </c>
      <c r="D2839" s="0">
        <f dt2D="0" dtr="0">HYPERLINK("https://www.icra.in/Rating/RatingDetails?CompanyId=0&amp;CompanyName=Zetek Castings Private Limited", "Rationale")</f>
        <v/>
      </c>
    </row>
    <row r="2840">
      <c r="A2840" s="0" t="s">
        <v>6541</v>
      </c>
      <c r="B2840" s="0" t="s">
        <v>6542</v>
      </c>
      <c r="C2840" s="0" t="s">
        <v>2835</v>
      </c>
      <c r="D2840" s="0">
        <f dt2D="0" dtr="0">HYPERLINK("https://www.icra.in/Rating/RatingDetails?CompanyId=0&amp;CompanyName=Zibon Ceramic Pvt. Ltd.", "Rationale")</f>
        <v/>
      </c>
    </row>
    <row r="2841">
      <c r="A2841" s="0" t="s">
        <v>6543</v>
      </c>
      <c r="B2841" s="0" t="s">
        <v>6544</v>
      </c>
      <c r="C2841" s="0" t="s">
        <v>6545</v>
      </c>
      <c r="D2841" s="0">
        <f dt2D="0" dtr="0">HYPERLINK("https://www.icra.in/Rating/RatingDetails?CompanyId=0&amp;CompanyName=Zillion Infraprojects Private Limited (Formerly known as Durha Constructions Private Limited)", "Rationale")</f>
        <v/>
      </c>
    </row>
    <row r="2842">
      <c r="A2842" s="0" t="s">
        <v>6546</v>
      </c>
      <c r="B2842" s="0" t="s">
        <v>6547</v>
      </c>
      <c r="C2842" s="0" t="s">
        <v>71</v>
      </c>
      <c r="D2842" s="0">
        <f dt2D="0" dtr="0">HYPERLINK("https://www.icra.in/Rating/RatingDetails?CompanyId=0&amp;CompanyName=Zinzuwadia Brothers Jewellers", "Rationale")</f>
        <v/>
      </c>
    </row>
    <row r="2843">
      <c r="A2843" s="0" t="s">
        <v>6548</v>
      </c>
      <c r="B2843" s="0" t="s">
        <v>6549</v>
      </c>
      <c r="C2843" s="0" t="s">
        <v>583</v>
      </c>
      <c r="D2843" s="0">
        <f dt2D="0" dtr="0">HYPERLINK("https://www.icra.in/Rating/RatingDetails?CompanyId=0&amp;CompanyName=Zippy Edible Products Private Limited", "Rationale")</f>
        <v/>
      </c>
    </row>
  </sheetData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2025-04-23T08:00:10Z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2.7.0</vt:lpwstr>
  </q1:property>
</q1:Properties>
</file>